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gled" sheetId="1" r:id="rId5"/>
    <sheet state="visible" name="Registar" sheetId="2" r:id="rId6"/>
    <sheet state="visible" name="Kartica" sheetId="3" r:id="rId7"/>
    <sheet state="visible" name="Javni izvod" sheetId="4" r:id="rId8"/>
    <sheet state="visible" name="Primeri" sheetId="5" r:id="rId9"/>
    <sheet state="visible" name="Uputstvo" sheetId="6" r:id="rId10"/>
    <sheet state="visible" name="Liste" sheetId="7" r:id="rId11"/>
  </sheets>
  <definedNames>
    <definedName name="AI_Lokacije">Liste!$D$7:$D$11</definedName>
    <definedName name="AI_Nalozi">Liste!$C$7:$C$10</definedName>
    <definedName name="AI_Vrste">Liste!$A$7:$A$11</definedName>
    <definedName name="AI_Oznake">Registar!$A$8:$A$207</definedName>
    <definedName name="AI_Statusi">Liste!$B$7:$B$13</definedName>
    <definedName name="AI_Obucavanje">Liste!$F$7:$F$10</definedName>
    <definedName name="AI_LicniPodaci">Liste!$E$7:$E$9</definedName>
    <definedName name="AI_Objava">Liste!$G$7:$G$8</definedName>
    <definedName hidden="1" localSheetId="1" name="Z_2985AA8E_2024_429E_8D00_15DB29F7A445_.wvu.FilterData">Registar!$A$7:$AH$207</definedName>
  </definedNames>
  <calcPr/>
  <customWorkbookViews>
    <customWorkbookView activeSheetId="0" maximized="1" windowHeight="0" windowWidth="0" guid="{2985AA8E-2024-429E-8D00-15DB29F7A445}" name="RegistarAI filter view"/>
  </customWorkbookViews>
</workbook>
</file>

<file path=xl/sharedStrings.xml><?xml version="1.0" encoding="utf-8"?>
<sst xmlns="http://schemas.openxmlformats.org/spreadsheetml/2006/main" count="366" uniqueCount="234">
  <si>
    <t>zavisic</t>
  </si>
  <si>
    <t>Kartica AI upotrebe</t>
  </si>
  <si>
    <t>Registar AI sistema i upotreba</t>
  </si>
  <si>
    <t>Odaberite ID iz registra. Podaci se uređuju isključivo u listu Registar.</t>
  </si>
  <si>
    <t>Zavišić Consulting     Obrazac za kompanije     Verzija 1.0</t>
  </si>
  <si>
    <t>ID upotrebe</t>
  </si>
  <si>
    <t>Referentni datum</t>
  </si>
  <si>
    <t>Najava preispitivanja u danima</t>
  </si>
  <si>
    <t>Kapacitet obrasca</t>
  </si>
  <si>
    <t>Status izbora</t>
  </si>
  <si>
    <t>Alat i verzija</t>
  </si>
  <si>
    <t>200 upotreba</t>
  </si>
  <si>
    <t>Evidentirane upotrebe</t>
  </si>
  <si>
    <t>Odobrene upotrebe</t>
  </si>
  <si>
    <t>Status upotrebe</t>
  </si>
  <si>
    <t>Prekoračen rok</t>
  </si>
  <si>
    <t>Odobreno za javni izvod</t>
  </si>
  <si>
    <t>Jedan red predstavlja jednu određenu namenu sistema. Unos počinje u redu 8.</t>
  </si>
  <si>
    <t>Poslovna svrha</t>
  </si>
  <si>
    <t>IDENTIFIKACIJA I ODGOVORNOST</t>
  </si>
  <si>
    <t>Odgovorno lice</t>
  </si>
  <si>
    <t>PODACI I USLOVI UPOTREBE</t>
  </si>
  <si>
    <t>PROCENA I ODOBRAVANJE</t>
  </si>
  <si>
    <t>ODOBRAVANJE JAVNOG SADRŽAJA</t>
  </si>
  <si>
    <t>Dobavljač</t>
  </si>
  <si>
    <t>AUTOMATSKI PREGLED</t>
  </si>
  <si>
    <t>Tim ili funkcija</t>
  </si>
  <si>
    <t>STATUS UPOTREBE</t>
  </si>
  <si>
    <t>POTREBNO POSTUPANJE</t>
  </si>
  <si>
    <t>Vrsta sistema</t>
  </si>
  <si>
    <t>U proceni</t>
  </si>
  <si>
    <t>Javni izvod AI upotreba</t>
  </si>
  <si>
    <t>Vrsta naloga</t>
  </si>
  <si>
    <t>Mesto obrade</t>
  </si>
  <si>
    <t>Dozvoljeni podaci</t>
  </si>
  <si>
    <t>Podaci o ličnosti</t>
  </si>
  <si>
    <t>Prikazuju se isključivo posebno odobreni javni nazivi i opisi.</t>
  </si>
  <si>
    <t>Rok u narednom periodu</t>
  </si>
  <si>
    <t>Obučavanje na unosima</t>
  </si>
  <si>
    <t>Izričita ograničenja</t>
  </si>
  <si>
    <t>Za objavljivanje prenesite samo vrednosti ovog izvoda u zaseban dokument. Nemojte objavljivati radnu svesku koja sadrži interne podatke.</t>
  </si>
  <si>
    <t>Ljudski nadzor</t>
  </si>
  <si>
    <t>Integracije i radnje</t>
  </si>
  <si>
    <t>Pilot</t>
  </si>
  <si>
    <t>Procena i zaključak</t>
  </si>
  <si>
    <t>Javni naziv</t>
  </si>
  <si>
    <t>Ugovor i uslovi</t>
  </si>
  <si>
    <t>Testiranje i ograničenja</t>
  </si>
  <si>
    <t>Odobreni opis namene</t>
  </si>
  <si>
    <t>Sadržaj odobren dana</t>
  </si>
  <si>
    <t>Obuka korisnika</t>
  </si>
  <si>
    <t>Odobrio upotrebu</t>
  </si>
  <si>
    <t>Datum odobrenja</t>
  </si>
  <si>
    <t>Rok nije određen</t>
  </si>
  <si>
    <t>Sledeće preispitivanje</t>
  </si>
  <si>
    <t>Dokumentacija</t>
  </si>
  <si>
    <t>Promene i napomene</t>
  </si>
  <si>
    <t>Objava odobrena</t>
  </si>
  <si>
    <t>Uslovno odobreno</t>
  </si>
  <si>
    <t>Javni opis namene</t>
  </si>
  <si>
    <t>Odobrio objavu</t>
  </si>
  <si>
    <t>Datum odobrenja objave</t>
  </si>
  <si>
    <t>Nepotpuni osnovni podaci</t>
  </si>
  <si>
    <t>Rok preispitivanja</t>
  </si>
  <si>
    <t>Osnovni podaci</t>
  </si>
  <si>
    <t>Evidencija odobrenja</t>
  </si>
  <si>
    <t>Redni broj izvoda</t>
  </si>
  <si>
    <t>Odobreno</t>
  </si>
  <si>
    <t>Redovi sa duplim ID</t>
  </si>
  <si>
    <t>Obustavljeno</t>
  </si>
  <si>
    <t>Dopuna evidencije odluke</t>
  </si>
  <si>
    <t>Povučeno</t>
  </si>
  <si>
    <t>Neispravni datumi odluke ili roka</t>
  </si>
  <si>
    <t>Odbijeno</t>
  </si>
  <si>
    <t>Nepotpuno odobrenje objave</t>
  </si>
  <si>
    <t>ORGANIZACIJA I ODGOVORNOST ZA EVIDENCIJU</t>
  </si>
  <si>
    <t>Organizacija</t>
  </si>
  <si>
    <t>[Naziv organizacije]</t>
  </si>
  <si>
    <t>Nosilac registra</t>
  </si>
  <si>
    <t>[Ime, funkcija i kontakt]</t>
  </si>
  <si>
    <t>Povezana politika</t>
  </si>
  <si>
    <t>[Naziv, verzija i datum usvajanja]</t>
  </si>
  <si>
    <t>Početak rada: popunite podatke o organizaciji, otvorite list Registar i unesite jednu namenu po redu. Kartica prikazuje izabrani zapis. Primeri su odvojeni i ne ulaze u pokazatelje.</t>
  </si>
  <si>
    <t>Žuta polja služe za unos. Siva polja sadrže formule. Pokazatelji su međusobno preklapajući; upozorenja označavaju evidencione nedostatke, a ne automatsku pravnu ocenu.</t>
  </si>
  <si>
    <t>Broj evidentiranih upotreba računa popunjene ID oznake. Red bez ID može imati upozorenje, ali ne ulazi u taj broj. Otklonite duplikate pre korišćenja zbirnih podataka.</t>
  </si>
  <si>
    <t>Datum se automatski osvežava funkcijom TODAY. Za pregled na određeni dan možete uneti datum u B7. Podaci u javnom izvodu zahtevaju zasebno odobrenje sadržaja.</t>
  </si>
  <si>
    <t>Prikaz prati izabranu stalnu oznaku i ostaje povezan sa zapisom nakon sortiranja registra. Ako postoji duplikat ID, sadržaj se ne prikazuje dok se oznake ne isprave.</t>
  </si>
  <si>
    <t>Primeri evidentiranja</t>
  </si>
  <si>
    <t>Izmišljeni primeri za popunjavanje. Ne predstavljaju stvarne alate niti odobrenja.</t>
  </si>
  <si>
    <t>PRIMER 1  Priprema poslovnih tekstova</t>
  </si>
  <si>
    <t>ID i namena</t>
  </si>
  <si>
    <t>AI-001. Poslovni asistent za nacrte tekstova na osnovu javnih materijala.</t>
  </si>
  <si>
    <t>Podaci i ograničenja</t>
  </si>
  <si>
    <t>Samo javni izvori. Bez podataka o klijentima, zaposlenima i poslovnih tajni.</t>
  </si>
  <si>
    <t>Nadzor</t>
  </si>
  <si>
    <t>Autor proverava činjenice, izvore i ton. Rukovodilac odobrava javnu objavu.</t>
  </si>
  <si>
    <t>Odluka i dokazi</t>
  </si>
  <si>
    <t>Odobreno tek nakon procene, testa i obuke. Navesti stvarne oznake i datume odluke.</t>
  </si>
  <si>
    <t>Javni izvod</t>
  </si>
  <si>
    <t>Poseban javni naziv i opis. Objava odobrena = Da tek po evidentiranoj saglasnosti za taj sadržaj.</t>
  </si>
  <si>
    <t>PRIMER 2  Obrada dokumenata</t>
  </si>
  <si>
    <t>AI-002. Lokalno izdvajanje teksta iz skeniranih dokumenata radi pretraživanja.</t>
  </si>
  <si>
    <t>Unapred određen skup dokumenata. Za lične podatke prethodno utvrditi uslove obrade.</t>
  </si>
  <si>
    <t>Testiranje</t>
  </si>
  <si>
    <t>Proveriti jezik, kvalitet skena, brojeve i posebne znakove. Zabeležiti tipične greške i kriterijume prihvatanja.</t>
  </si>
  <si>
    <t>Stručni korisnik poredi rezultat sa originalom pre dalje upotrebe važnih podataka.</t>
  </si>
  <si>
    <t>Status</t>
  </si>
  <si>
    <t>Pilot uz dokumentovano trajanje i ograničenja. Lokalna instalacija ne zamenjuje procenu.</t>
  </si>
  <si>
    <t>PRIMER 3  Agent u poslovnoj aplikaciji</t>
  </si>
  <si>
    <t>AI-003. Agent predlaže odgovore na upite i izmene zapisa u poslovnoj aplikaciji.</t>
  </si>
  <si>
    <t>Integracije</t>
  </si>
  <si>
    <t>Pristup samo odobrenim zapisima. Odvojiti pravo čitanja od prava izmene i slanja.</t>
  </si>
  <si>
    <t>Ovlašćena osoba potvrđuje primaoca, sadržaj i izmenu pre izvršenja. Navesti ko zaustavlja agenta.</t>
  </si>
  <si>
    <t>Status i evidencije</t>
  </si>
  <si>
    <t>U proceni dok nisu završeni testovi, pravna i bezbednosna provera. Bez stvarnih podataka pre odobrenog testa.</t>
  </si>
  <si>
    <t>Ne uključuje se dok nema odgovarajuće odluke o upotrebi i posebnog odobrenja javnog sadržaja.</t>
  </si>
  <si>
    <t>Polazna referenca: Registar_AI_alata_BMB.xlsx, dostavljen kao uzor strukture. Bibliotečki primeri i upućivanja na posebne interne akte nisu preneti kao podaci kompanije. Ovaj obrazac koristi opšte poslovne namene.</t>
  </si>
  <si>
    <t>Uputstvo i objašnjenje polja</t>
  </si>
  <si>
    <t>Upotreba obrasca i pravila održavanja evidencije</t>
  </si>
  <si>
    <t>Jedinica evidencije</t>
  </si>
  <si>
    <t>Jedan red = jedan sistem u jednoj određenoj nameni. Isti alat za internu pripremu teksta i za ocenjivanje kandidata vodi se odvojeno. Komponente opisati u dokumentaciji ako nisu zasebna upotreba.</t>
  </si>
  <si>
    <t>Stalna oznaka</t>
  </si>
  <si>
    <t>ID upisati ručno i ne menjati pri sortiranju. Sortirati celu tabelu pomoću filtera u zaglavlju. Kartica pronalazi zapis po oznaci, a ne po položaju reda.</t>
  </si>
  <si>
    <t>Redosled unosa</t>
  </si>
  <si>
    <t>Najpre identifikacija, svrha, odgovorno lice i status. Zatim podaci i kontrole, procena i dokazi. Odobrenje i datume uneti tek prema stvarnoj odluci.</t>
  </si>
  <si>
    <t>Status i rokovi</t>
  </si>
  <si>
    <t>Pilot, Uslovno odobreno i Odobreno zahtevaju evidenciju odluke. Rokovi za Povučeno, Odbijeno i Obustavljeno prikazuju se kao Nije aktivno. Za ponovni početak evidentirati novu odluku.</t>
  </si>
  <si>
    <t>Automatske provere</t>
  </si>
  <si>
    <t>Kolone AE–AH ne uređivati. Popunjeno i Evidentirano potvrđuju prisustvo podataka; ne potvrđuju zakonitost, tačnost procene niti ispunjenje svih uslova odobrenja.</t>
  </si>
  <si>
    <t>Uslovi: aktivna odluka, jedinstven i popunjen osnovni zapis, evidentirani podaci o odobrenju, Objava odobrena = Da, javni naziv i opis, odobravalac objave i važeći datum. Istek roka preispitivanja se označava, ali sam ne menja ručno uneti status.</t>
  </si>
  <si>
    <t>Bezbedno objavljivanje</t>
  </si>
  <si>
    <t>Izvod koristi samo javni naziv, javni opis, status i datum odobrenja sadržaja. Izdvojiti vrednosti u zaseban fajl i proveriti ih pre objave. Radna sveska sadrži interne podatke i nije namenjena javnom deljenju.</t>
  </si>
  <si>
    <t>Kapacitet i proširenje</t>
  </si>
  <si>
    <t>Pripremljeno je 200 redova, od 8 do 207. Za više zapisa potrebno je proširiti tabelu, formule, validacije, uslovno formatiranje i sve opsege u Pregledu, Kartici i Javnom izvodu. Ne unositi zapise van tog opsega bez prilagođavanja.</t>
  </si>
  <si>
    <t>Datumi i promene</t>
  </si>
  <si>
    <t>Unositi datume kao datumske vrednosti. B7 u Pregledu određuje dan obračuna, F7 broj dana najave. Promene, odluke i razloge obustave povezati sa dokumentacijom. Ne brisati istoriju koja mora ostati sačuvana.</t>
  </si>
  <si>
    <t>Kolona</t>
  </si>
  <si>
    <t>Polje</t>
  </si>
  <si>
    <t>Način unosa</t>
  </si>
  <si>
    <t>Objašnjenje</t>
  </si>
  <si>
    <t>A</t>
  </si>
  <si>
    <t>Ručni unos</t>
  </si>
  <si>
    <t>Stalna jedinstvena oznaka, npr. AI-001. Ne koristiti redni broj koji zavisi od sortiranja.</t>
  </si>
  <si>
    <t>B</t>
  </si>
  <si>
    <t>Naziv aplikacije ili sistema i relevantno izdanje. Za promenljivi model navesti datum ili način praćenja verzije.</t>
  </si>
  <si>
    <t>C</t>
  </si>
  <si>
    <t>Pravno lice ili izvor softvera. Kod otvorenog koda navesti projekat i ko obezbeđuje podršku.</t>
  </si>
  <si>
    <t>D</t>
  </si>
  <si>
    <t>Padajuća lista</t>
  </si>
  <si>
    <t>Odabrati dominantnu vrstu. Složenije funkcije i komponente opisati u dokumentaciji.</t>
  </si>
  <si>
    <t>E</t>
  </si>
  <si>
    <t>Konkretan proces, zadatak, način primene rezultata i granice namene. Različite svrhe mogu zahtevati zaseban zapis.</t>
  </si>
  <si>
    <t>F</t>
  </si>
  <si>
    <t>Organizaciona jedinica ili funkcija koja koristi sistem.</t>
  </si>
  <si>
    <t>G</t>
  </si>
  <si>
    <t>Osoba odgovorna za namenu, uslove upotrebe i preispitivanje. Navesti funkciju i kontakt prema potrebi.</t>
  </si>
  <si>
    <t>H</t>
  </si>
  <si>
    <t>Administrativni status odluke. Status se unosi ručno na osnovu odgovarajućeg odobrenja.</t>
  </si>
  <si>
    <t>I</t>
  </si>
  <si>
    <t>Vrsta pristupa i naloga. Službeni nalog ne znači automatski da je alat odobren.</t>
  </si>
  <si>
    <t>J</t>
  </si>
  <si>
    <t>Odabrati okruženje, a konkretne države i lokacije dokumentovati u proceni. Lokacija nije sama po sebi ocena usklađenosti.</t>
  </si>
  <si>
    <t>K</t>
  </si>
  <si>
    <t>Tačne kategorije, izvori i ograničenja podataka. Nije dovoljno navesti samo „poslovni podaci”.</t>
  </si>
  <si>
    <t>L</t>
  </si>
  <si>
    <t>Da, Ne ili Nije utvrđeno. Posebne vrste podataka i uslove obrade navesti u proceni.</t>
  </si>
  <si>
    <t>M</t>
  </si>
  <si>
    <t>Da li dobavljač koristi unose za obučavanje. Navesti provereni status; ovo ne opisuje sve uslove čuvanja i pristupa.</t>
  </si>
  <si>
    <t>N</t>
  </si>
  <si>
    <t>Nedopušteni podaci, odluke i radnje, uključujući granice odobrenja.</t>
  </si>
  <si>
    <t>O</t>
  </si>
  <si>
    <t>Ko proverava rezultat, u kom trenutku, po kojim kriterijumima i ko sme da zaustavi rad.</t>
  </si>
  <si>
    <t>P</t>
  </si>
  <si>
    <t>Povezani sistemi, prava čitanja i izmene, automatizovane radnje, limiti i ljudske potvrde. Ako nema, upisati „Nema”.</t>
  </si>
  <si>
    <t>Q</t>
  </si>
  <si>
    <t>Oznaka, datum i sažet zaključak procene rizika i relevantnih pravnih zahteva. Ne unositi automatsku regulatornu klasifikaciju.</t>
  </si>
  <si>
    <t>R</t>
  </si>
  <si>
    <t>Oznaka ugovora ili uslova, provera obrade i čuvanja podataka, prava i podrške. Ako nije primenljivo, obrazložiti.</t>
  </si>
  <si>
    <t>S</t>
  </si>
  <si>
    <t>Datum, kriterijumi, rezultat provere i poznata ograničenja, uključujući jezik kada je važan za namenu.</t>
  </si>
  <si>
    <t>T</t>
  </si>
  <si>
    <t>Potrebna obuka, obuhvaćeni korisnici i dokaz da je završena pre rada.</t>
  </si>
  <si>
    <t>U</t>
  </si>
  <si>
    <t>Ime i funkcija lica koje je donelo odluku. Upis nije zamena za dokumentovano odobrenje.</t>
  </si>
  <si>
    <t>V</t>
  </si>
  <si>
    <t>Datum</t>
  </si>
  <si>
    <t>Stvarni datum odluke. Uneti Excel datum, a ne tekst.</t>
  </si>
  <si>
    <t>W</t>
  </si>
  <si>
    <t>Rok iz odluke, kao Excel datum. Ne određuje se automatski bez odluke o potrebnoj učestalosti.</t>
  </si>
  <si>
    <t>X</t>
  </si>
  <si>
    <t>Lokacija ili veza ka odobrenju, procenama, ugovoru, testovima i evidencijama.</t>
  </si>
  <si>
    <t>Y</t>
  </si>
  <si>
    <t>Relevantne izmene, oznaka incidenta ili razlog obustave i povlačenja. Detaljnu istoriju čuvati u dokumentaciji.</t>
  </si>
  <si>
    <t>Z</t>
  </si>
  <si>
    <t>Da tek nakon provere javnog naziva i opisa. Prazno ili Ne isključuje zapis iz javnog izvoda.</t>
  </si>
  <si>
    <t>AA</t>
  </si>
  <si>
    <t>Naziv odobren za objavljivanje. Ne preuzima se automatski iz internog naziva.</t>
  </si>
  <si>
    <t>AB</t>
  </si>
  <si>
    <t>Posebno pripremljen javni tekst bez poverljivih podataka i internih kontakata.</t>
  </si>
  <si>
    <t>AC</t>
  </si>
  <si>
    <t>Ime ili funkcija odgovorna za odobravanje konkretnog javnog sadržaja. Ne pojavljuje se u izvodu.</t>
  </si>
  <si>
    <t>AD</t>
  </si>
  <si>
    <t>Datum odobrenja javnog sadržaja. Mora biti popunjen i ne sme biti u budućnosti.</t>
  </si>
  <si>
    <t>AE</t>
  </si>
  <si>
    <t>Formula</t>
  </si>
  <si>
    <t>Automatski prikaz roka prema referentnom datumu u Pregledu. Obustavljeni i povučeni zapisi se ne računaju kao aktivni rokovi.</t>
  </si>
  <si>
    <t>AF</t>
  </si>
  <si>
    <t>Provera oznake, naziva, svrhe, odgovornog lica i statusa, uključujući duplikate oznake.</t>
  </si>
  <si>
    <t>AG</t>
  </si>
  <si>
    <t>Za pilot, uslovno odobrenu i odobrenu upotrebu proverava prisustvo ključnih podataka. Ne ocenjuje njihovu sadržinsku ispravnost.</t>
  </si>
  <si>
    <t>AH</t>
  </si>
  <si>
    <t>Pomoćni broj za kompaktan javni izvod. Nastaje samo kada su ispunjeni uslovi objave. Ne menjati formulu.</t>
  </si>
  <si>
    <t>Registar podržava primenu interne AI politike. Pravna kvalifikacija, procena rizika i odluka o upotrebi dokumentuju se posebno. Obrazac ne izvodi automatsku klasifikaciju prema EU AI Actu niti ocenu usklađenosti.</t>
  </si>
  <si>
    <t>Vrednosti za izbor</t>
  </si>
  <si>
    <t>Standardizovane vrednosti za padajuće liste</t>
  </si>
  <si>
    <t>Opšti AI asistent</t>
  </si>
  <si>
    <t>Službeni nalog</t>
  </si>
  <si>
    <t>Lokalno</t>
  </si>
  <si>
    <t>Da</t>
  </si>
  <si>
    <t>Isključeno</t>
  </si>
  <si>
    <t>AI funkcija u softveru</t>
  </si>
  <si>
    <t>Servisni nalog</t>
  </si>
  <si>
    <t>Oblak EU/EEP</t>
  </si>
  <si>
    <t>Ne</t>
  </si>
  <si>
    <t>Uključeno</t>
  </si>
  <si>
    <t>Specijalizovani sistem</t>
  </si>
  <si>
    <t>Lokalno bez naloga</t>
  </si>
  <si>
    <t>Oblak van EU/EEP</t>
  </si>
  <si>
    <t>Nije utvrđeno</t>
  </si>
  <si>
    <t>AI agent ili automatizacija</t>
  </si>
  <si>
    <t>Više lokacija</t>
  </si>
  <si>
    <t>Nije primenljivo</t>
  </si>
  <si>
    <t>Interno razvijen sistem</t>
  </si>
  <si>
    <t>Statusi su povezani sa formulama. Izmenu ili dodavanje statusa treba pratiti proverom formula, uslova objave i uputstva.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</si>
</sst>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12">
    <font>
      <sz val="11.0"/>
      <color rgb="FF000000"/>
      <name val="Carlito"/>
      <scheme val="minor"/>
    </font>
    <font>
      <b/>
      <sz val="11.0"/>
      <color rgb="FF1832E7"/>
      <name val="Google Sans Flex"/>
    </font>
    <font>
      <sz val="11.0"/>
      <color rgb="FF182238"/>
      <name val="Google Sans Flex"/>
    </font>
    <font>
      <color theme="1"/>
      <name val="Google Sans Flex"/>
    </font>
    <font>
      <b/>
      <sz val="17.0"/>
      <color rgb="FF182238"/>
      <name val="Google Sans Flex"/>
    </font>
    <font/>
    <font>
      <sz val="10.0"/>
      <color rgb="FF5C6680"/>
      <name val="Google Sans Flex"/>
    </font>
    <font>
      <sz val="11.0"/>
      <color rgb="FF1832E7"/>
      <name val="Google Sans Flex"/>
    </font>
    <font>
      <b/>
      <sz val="11.0"/>
      <color rgb="FF182238"/>
      <name val="Google Sans Flex"/>
    </font>
    <font>
      <b/>
      <sz val="22.0"/>
      <color rgb="FF1832E7"/>
      <name val="Google Sans Flex"/>
    </font>
    <font>
      <b/>
      <sz val="11.0"/>
      <color rgb="FFFFFFFF"/>
      <name val="Google Sans Flex"/>
    </font>
    <font>
      <sz val="11.0"/>
      <color rgb="FFFFFFFF"/>
      <name val="Google Sans Flex"/>
    </font>
  </fonts>
  <fills count="6">
    <fill>
      <patternFill patternType="none"/>
    </fill>
    <fill>
      <patternFill patternType="lightGray"/>
    </fill>
    <fill>
      <patternFill patternType="solid">
        <fgColor rgb="FFFFF9E7"/>
        <bgColor rgb="FFFFF9E7"/>
      </patternFill>
    </fill>
    <fill>
      <patternFill patternType="solid">
        <fgColor rgb="FFEEF1FF"/>
        <bgColor rgb="FFEEF1FF"/>
      </patternFill>
    </fill>
    <fill>
      <patternFill patternType="solid">
        <fgColor rgb="FFF0F3F8"/>
        <bgColor rgb="FFF0F3F8"/>
      </patternFill>
    </fill>
    <fill>
      <patternFill patternType="solid">
        <fgColor rgb="FF1832E7"/>
        <bgColor rgb="FF1832E7"/>
      </patternFill>
    </fill>
  </fills>
  <borders count="27">
    <border/>
    <border>
      <bottom style="medium">
        <color rgb="FF1832E7"/>
      </bottom>
    </border>
    <border>
      <left/>
      <right/>
      <top/>
      <bottom/>
    </border>
    <border>
      <left/>
      <top/>
      <bottom/>
    </border>
    <border>
      <right/>
      <top/>
      <bottom/>
    </border>
    <border>
      <left/>
      <right/>
      <top/>
      <bottom style="thin">
        <color rgb="FFD4DCE9"/>
      </bottom>
    </border>
    <border>
      <left/>
      <top/>
    </border>
    <border>
      <top/>
    </border>
    <border>
      <left/>
      <right/>
      <top style="thin">
        <color rgb="FFD4DCE9"/>
      </top>
      <bottom style="thin">
        <color rgb="FFD4DCE9"/>
      </bottom>
    </border>
    <border>
      <right/>
      <top/>
    </border>
    <border>
      <top/>
      <bottom/>
    </border>
    <border>
      <left/>
      <bottom/>
    </border>
    <border>
      <bottom/>
    </border>
    <border>
      <right/>
      <bottom/>
    </border>
    <border>
      <left/>
      <right style="thin">
        <color rgb="FFE5E9F0"/>
      </right>
      <top/>
      <bottom style="thin">
        <color rgb="FFD4DCE9"/>
      </bottom>
    </border>
    <border>
      <left style="thin">
        <color rgb="FFE5E9F0"/>
      </left>
      <right style="thin">
        <color rgb="FFE5E9F0"/>
      </right>
      <top/>
      <bottom style="thin">
        <color rgb="FFD4DCE9"/>
      </bottom>
    </border>
    <border>
      <bottom style="thin">
        <color rgb="FFD4DCE9"/>
      </bottom>
    </border>
    <border>
      <top style="thin">
        <color rgb="FFD4DCE9"/>
      </top>
      <bottom style="thin">
        <color rgb="FFD4DCE9"/>
      </bottom>
    </border>
    <border>
      <left style="thin">
        <color rgb="FFE5E9F0"/>
      </left>
      <right/>
      <top/>
      <bottom style="thin">
        <color rgb="FFD4DCE9"/>
      </bottom>
    </border>
    <border>
      <left/>
      <right style="thin">
        <color rgb="FFE5E9F0"/>
      </right>
      <top style="thin">
        <color rgb="FFD4DCE9"/>
      </top>
      <bottom style="thin">
        <color rgb="FFD4DCE9"/>
      </bottom>
    </border>
    <border>
      <left style="thin">
        <color rgb="FFE5E9F0"/>
      </left>
      <right style="thin">
        <color rgb="FFE5E9F0"/>
      </right>
      <top style="thin">
        <color rgb="FFD4DCE9"/>
      </top>
      <bottom style="thin">
        <color rgb="FFD4DCE9"/>
      </bottom>
    </border>
    <border>
      <left/>
      <top/>
      <bottom style="thin">
        <color rgb="FFD4DCE9"/>
      </bottom>
    </border>
    <border>
      <top/>
      <bottom style="thin">
        <color rgb="FFD4DCE9"/>
      </bottom>
    </border>
    <border>
      <right/>
      <top/>
      <bottom style="thin">
        <color rgb="FFD4DCE9"/>
      </bottom>
    </border>
    <border>
      <left/>
      <top style="thin">
        <color rgb="FFD4DCE9"/>
      </top>
      <bottom style="thin">
        <color rgb="FFD4DCE9"/>
      </bottom>
    </border>
    <border>
      <right/>
      <top style="thin">
        <color rgb="FFD4DCE9"/>
      </top>
      <bottom style="thin">
        <color rgb="FFD4DCE9"/>
      </bottom>
    </border>
    <border>
      <left style="thin">
        <color rgb="FFE5E9F0"/>
      </left>
      <right/>
      <top style="thin">
        <color rgb="FFD4DCE9"/>
      </top>
      <bottom style="thin">
        <color rgb="FFD4DCE9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Font="1"/>
    <xf borderId="0" fillId="0" fontId="4" numFmtId="0" xfId="0" applyAlignment="1" applyFont="1">
      <alignment shrinkToFit="0" vertical="center" wrapText="1"/>
    </xf>
    <xf borderId="1" fillId="0" fontId="5" numFmtId="0" xfId="0" applyBorder="1" applyFont="1"/>
    <xf borderId="0" fillId="0" fontId="6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2" fillId="2" fontId="7" numFmtId="0" xfId="0" applyAlignment="1" applyBorder="1" applyFill="1" applyFont="1">
      <alignment vertical="center"/>
    </xf>
    <xf borderId="3" fillId="2" fontId="7" numFmtId="164" xfId="0" applyAlignment="1" applyBorder="1" applyFill="1" applyFont="1" applyNumberFormat="1">
      <alignment vertical="center"/>
    </xf>
    <xf borderId="4" fillId="0" fontId="5" numFmtId="0" xfId="0" applyBorder="1" applyFont="1"/>
    <xf borderId="5" fillId="3" fontId="8" numFmtId="0" xfId="0" applyAlignment="1" applyBorder="1" applyFill="1" applyFont="1">
      <alignment shrinkToFit="0" vertical="center" wrapText="1"/>
    </xf>
    <xf borderId="3" fillId="2" fontId="7" numFmtId="0" xfId="0" applyAlignment="1" applyBorder="1" applyFill="1" applyFont="1">
      <alignment vertical="center"/>
    </xf>
    <xf borderId="5" fillId="4" fontId="2" numFmtId="0" xfId="0" applyAlignment="1" applyBorder="1" applyFill="1" applyFont="1">
      <alignment shrinkToFit="0" vertical="center" wrapText="1"/>
    </xf>
    <xf borderId="6" fillId="3" fontId="9" numFmtId="0" xfId="0" applyAlignment="1" applyBorder="1" applyFill="1" applyFont="1">
      <alignment horizontal="left" vertical="center"/>
    </xf>
    <xf borderId="7" fillId="0" fontId="5" numFmtId="0" xfId="0" applyBorder="1" applyFont="1"/>
    <xf borderId="8" fillId="3" fontId="8" numFmtId="0" xfId="0" applyAlignment="1" applyBorder="1" applyFill="1" applyFont="1">
      <alignment shrinkToFit="0" vertical="center" wrapText="1"/>
    </xf>
    <xf borderId="9" fillId="0" fontId="5" numFmtId="0" xfId="0" applyBorder="1" applyFont="1"/>
    <xf borderId="8" fillId="4" fontId="2" numFmtId="0" xfId="0" applyAlignment="1" applyBorder="1" applyFill="1" applyFont="1">
      <alignment shrinkToFit="0" vertical="center" wrapText="1"/>
    </xf>
    <xf borderId="3" fillId="3" fontId="1" numFmtId="0" xfId="0" applyAlignment="1" applyBorder="1" applyFill="1" applyFont="1">
      <alignment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5" fontId="10" numFmtId="0" xfId="0" applyAlignment="1" applyBorder="1" applyFill="1" applyFont="1">
      <alignment horizontal="center" readingOrder="0" shrinkToFit="0" vertical="center" wrapText="1"/>
    </xf>
    <xf borderId="3" fillId="5" fontId="11" numFmtId="0" xfId="0" applyAlignment="1" applyBorder="1" applyFill="1" applyFont="1">
      <alignment shrinkToFit="0" vertical="center" wrapText="1"/>
    </xf>
    <xf borderId="15" fillId="5" fontId="10" numFmtId="0" xfId="0" applyAlignment="1" applyBorder="1" applyFill="1" applyFont="1">
      <alignment horizontal="center" readingOrder="0" shrinkToFit="0" vertical="center" wrapText="1"/>
    </xf>
    <xf borderId="0" fillId="0" fontId="11" numFmtId="0" xfId="0" applyAlignment="1" applyFont="1">
      <alignment vertical="center"/>
    </xf>
    <xf borderId="16" fillId="0" fontId="2" numFmtId="0" xfId="0" applyAlignment="1" applyBorder="1" applyFont="1">
      <alignment shrinkToFit="0" vertical="center" wrapText="1"/>
    </xf>
    <xf borderId="16" fillId="0" fontId="5" numFmtId="0" xfId="0" applyBorder="1" applyFont="1"/>
    <xf borderId="16" fillId="0" fontId="2" numFmtId="1" xfId="0" applyAlignment="1" applyBorder="1" applyFont="1" applyNumberFormat="1">
      <alignment vertical="center"/>
    </xf>
    <xf borderId="17" fillId="0" fontId="2" numFmtId="0" xfId="0" applyAlignment="1" applyBorder="1" applyFont="1">
      <alignment shrinkToFit="0" vertical="center" wrapText="1"/>
    </xf>
    <xf borderId="17" fillId="0" fontId="5" numFmtId="0" xfId="0" applyBorder="1" applyFont="1"/>
    <xf borderId="5" fillId="5" fontId="10" numFmtId="0" xfId="0" applyAlignment="1" applyBorder="1" applyFill="1" applyFont="1">
      <alignment horizontal="center" shrinkToFit="0" vertical="center" wrapText="1"/>
    </xf>
    <xf borderId="17" fillId="0" fontId="2" numFmtId="1" xfId="0" applyAlignment="1" applyBorder="1" applyFont="1" applyNumberFormat="1">
      <alignment vertical="center"/>
    </xf>
    <xf borderId="18" fillId="5" fontId="10" numFmtId="0" xfId="0" applyAlignment="1" applyBorder="1" applyFill="1" applyFont="1">
      <alignment horizontal="center" readingOrder="0" shrinkToFit="0" vertical="center" wrapText="1"/>
    </xf>
    <xf borderId="19" fillId="2" fontId="2" numFmtId="0" xfId="0" applyAlignment="1" applyBorder="1" applyFill="1" applyFont="1">
      <alignment shrinkToFit="0" vertical="top" wrapText="1"/>
    </xf>
    <xf borderId="20" fillId="2" fontId="2" numFmtId="0" xfId="0" applyAlignment="1" applyBorder="1" applyFill="1" applyFont="1">
      <alignment shrinkToFit="0" vertical="top" wrapText="1"/>
    </xf>
    <xf borderId="17" fillId="0" fontId="2" numFmtId="164" xfId="0" applyAlignment="1" applyBorder="1" applyFont="1" applyNumberFormat="1">
      <alignment shrinkToFit="0" vertical="center" wrapText="1"/>
    </xf>
    <xf borderId="20" fillId="2" fontId="2" numFmtId="164" xfId="0" applyAlignment="1" applyBorder="1" applyFill="1" applyFont="1" applyNumberFormat="1">
      <alignment shrinkToFit="0" vertical="top" wrapText="1"/>
    </xf>
    <xf borderId="21" fillId="2" fontId="2" numFmtId="0" xfId="0" applyAlignment="1" applyBorder="1" applyFill="1" applyFont="1">
      <alignment shrinkToFit="0" vertical="center" wrapText="1"/>
    </xf>
    <xf borderId="22" fillId="0" fontId="5" numFmtId="0" xfId="0" applyBorder="1" applyFont="1"/>
    <xf borderId="23" fillId="0" fontId="5" numFmtId="0" xfId="0" applyBorder="1" applyFont="1"/>
    <xf borderId="24" fillId="2" fontId="2" numFmtId="0" xfId="0" applyAlignment="1" applyBorder="1" applyFill="1" applyFont="1">
      <alignment shrinkToFit="0" vertical="center" wrapText="1"/>
    </xf>
    <xf borderId="25" fillId="0" fontId="5" numFmtId="0" xfId="0" applyBorder="1" applyFont="1"/>
    <xf borderId="8" fillId="4" fontId="2" numFmtId="164" xfId="0" applyAlignment="1" applyBorder="1" applyFill="1" applyFont="1" applyNumberFormat="1">
      <alignment shrinkToFit="0" vertical="center" wrapText="1"/>
    </xf>
    <xf borderId="20" fillId="4" fontId="2" numFmtId="0" xfId="0" applyAlignment="1" applyBorder="1" applyFill="1" applyFont="1">
      <alignment shrinkToFit="0" vertical="center" wrapText="1"/>
    </xf>
    <xf borderId="26" fillId="4" fontId="2" numFmtId="1" xfId="0" applyAlignment="1" applyBorder="1" applyFill="1" applyFont="1" applyNumberFormat="1">
      <alignment shrinkToFit="0" vertical="center" wrapText="1"/>
    </xf>
    <xf borderId="5" fillId="3" fontId="2" numFmtId="0" xfId="0" applyAlignment="1" applyBorder="1" applyFill="1" applyFont="1">
      <alignment shrinkToFit="0" vertical="center" wrapText="1"/>
    </xf>
    <xf borderId="8" fillId="3" fontId="2" numFmtId="0" xfId="0" applyAlignment="1" applyBorder="1" applyFill="1" applyFont="1">
      <alignment shrinkToFit="0" vertical="center" wrapText="1"/>
    </xf>
    <xf borderId="21" fillId="3" fontId="2" numFmtId="0" xfId="0" applyAlignment="1" applyBorder="1" applyFill="1" applyFont="1">
      <alignment shrinkToFit="0" vertical="center" wrapText="1"/>
    </xf>
    <xf borderId="24" fillId="3" fontId="2" numFmtId="0" xfId="0" applyAlignment="1" applyBorder="1" applyFill="1" applyFont="1">
      <alignment shrinkToFit="0" vertical="center" wrapText="1"/>
    </xf>
    <xf borderId="17" fillId="0" fontId="2" numFmtId="0" xfId="0" applyAlignment="1" applyBorder="1" applyFont="1">
      <alignment vertical="center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rgb="FF942A25"/>
      </font>
      <fill>
        <patternFill patternType="solid">
          <fgColor rgb="FFFCE8E6"/>
          <bgColor rgb="FFFCE8E6"/>
        </patternFill>
      </fill>
      <border/>
    </dxf>
    <dxf>
      <font>
        <color rgb="FF7A5000"/>
      </font>
      <fill>
        <patternFill patternType="solid">
          <fgColor rgb="FFFFF0C2"/>
          <bgColor rgb="FFFFF0C2"/>
        </patternFill>
      </fill>
      <border/>
    </dxf>
  </dxfs>
  <tableStyles count="1">
    <tableStyle count="4" pivot="0" name="Registar-style">
      <tableStyleElement dxfId="1" type="headerRow"/>
      <tableStyleElement dxfId="2" type="firstRowStripe"/>
      <tableStyleElement dxfId="1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7:AH207" displayName="RegistarAI" name="RegistarAI" id="1">
  <tableColumns count="34">
    <tableColumn name="ID upotrebe" id="1"/>
    <tableColumn name="Alat i verzija" id="2"/>
    <tableColumn name="Dobavljač" id="3"/>
    <tableColumn name="Vrsta sistema" id="4"/>
    <tableColumn name="Poslovna svrha" id="5"/>
    <tableColumn name="Tim ili funkcija" id="6"/>
    <tableColumn name="Odgovorno lice" id="7"/>
    <tableColumn name="Status upotrebe" id="8"/>
    <tableColumn name="Vrsta naloga" id="9"/>
    <tableColumn name="Mesto obrade" id="10"/>
    <tableColumn name="Dozvoljeni podaci" id="11"/>
    <tableColumn name="Podaci o ličnosti" id="12"/>
    <tableColumn name="Obučavanje na unosima" id="13"/>
    <tableColumn name="Izričita ograničenja" id="14"/>
    <tableColumn name="Ljudski nadzor" id="15"/>
    <tableColumn name="Integracije i radnje" id="16"/>
    <tableColumn name="Procena i zaključak" id="17"/>
    <tableColumn name="Ugovor i uslovi" id="18"/>
    <tableColumn name="Testiranje i ograničenja" id="19"/>
    <tableColumn name="Obuka korisnika" id="20"/>
    <tableColumn name="Odobrio upotrebu" id="21"/>
    <tableColumn name="Datum odobrenja" id="22"/>
    <tableColumn name="Sledeće preispitivanje" id="23"/>
    <tableColumn name="Dokumentacija" id="24"/>
    <tableColumn name="Promene i napomene" id="25"/>
    <tableColumn name="Objava odobrena" id="26"/>
    <tableColumn name="Javni naziv" id="27"/>
    <tableColumn name="Javni opis namene" id="28"/>
    <tableColumn name="Odobrio objavu" id="29"/>
    <tableColumn name="Datum odobrenja objave" id="30"/>
    <tableColumn name="Rok preispitivanja" id="31"/>
    <tableColumn name="Osnovni podaci" id="32"/>
    <tableColumn name="Evidencija odobrenja" id="33"/>
    <tableColumn name="Redni broj izvoda" id="34"/>
  </tableColumns>
  <tableStyleInfo name="Regista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832E7"/>
    <pageSetUpPr/>
  </sheetPr>
  <sheetViews>
    <sheetView showGridLines="0" workbookViewId="0"/>
  </sheetViews>
  <sheetFormatPr customHeight="1" defaultColWidth="12.63" defaultRowHeight="15.0"/>
  <cols>
    <col customWidth="1" min="1" max="12" width="12.0"/>
    <col customWidth="1" min="13" max="26" width="8.63"/>
  </cols>
  <sheetData>
    <row r="1" ht="24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4.0" customHeight="1">
      <c r="A2" s="4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0" customHeight="1">
      <c r="A4" s="6" t="s">
        <v>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0" customHeight="1">
      <c r="A6" s="7" t="s">
        <v>6</v>
      </c>
      <c r="E6" s="7" t="s">
        <v>7</v>
      </c>
      <c r="I6" s="7" t="s">
        <v>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0" customHeight="1">
      <c r="A7" s="2"/>
      <c r="B7" s="9">
        <f>TODAY()</f>
        <v>46314</v>
      </c>
      <c r="C7" s="10"/>
      <c r="D7" s="2"/>
      <c r="E7" s="2"/>
      <c r="F7" s="12">
        <v>30.0</v>
      </c>
      <c r="G7" s="10"/>
      <c r="H7" s="2"/>
      <c r="I7" s="7" t="s">
        <v>11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0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0" customHeight="1">
      <c r="A9" s="7" t="s">
        <v>12</v>
      </c>
      <c r="D9" s="7" t="s">
        <v>13</v>
      </c>
      <c r="G9" s="7" t="s">
        <v>15</v>
      </c>
      <c r="J9" s="7" t="s">
        <v>16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0" customHeight="1">
      <c r="A10" s="14">
        <f>COUNTA(Registar!A8:A207)</f>
        <v>0</v>
      </c>
      <c r="B10" s="15"/>
      <c r="C10" s="17"/>
      <c r="D10" s="14">
        <f>COUNTIFS(Registar!A8:A207,"&lt;&gt;",Registar!H8:H207,"Odobreno")</f>
        <v>0</v>
      </c>
      <c r="E10" s="15"/>
      <c r="F10" s="17"/>
      <c r="G10" s="14">
        <f>COUNTIFS(Registar!AE8:AE207,"Kasni")</f>
        <v>0</v>
      </c>
      <c r="H10" s="15"/>
      <c r="I10" s="17"/>
      <c r="J10" s="14">
        <f>COUNT(Registar!AH8:AH207)</f>
        <v>0</v>
      </c>
      <c r="K10" s="15"/>
      <c r="L10" s="17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0" customHeight="1">
      <c r="A11" s="21"/>
      <c r="B11" s="22"/>
      <c r="C11" s="23"/>
      <c r="D11" s="21"/>
      <c r="E11" s="22"/>
      <c r="F11" s="23"/>
      <c r="G11" s="21"/>
      <c r="H11" s="22"/>
      <c r="I11" s="23"/>
      <c r="J11" s="21"/>
      <c r="K11" s="22"/>
      <c r="L11" s="2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0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0" customHeight="1">
      <c r="A13" s="25" t="s">
        <v>27</v>
      </c>
      <c r="B13" s="20"/>
      <c r="C13" s="20"/>
      <c r="D13" s="20"/>
      <c r="E13" s="20"/>
      <c r="F13" s="10"/>
      <c r="G13" s="27"/>
      <c r="H13" s="25" t="s">
        <v>28</v>
      </c>
      <c r="I13" s="20"/>
      <c r="J13" s="20"/>
      <c r="K13" s="20"/>
      <c r="L13" s="10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1.5" customHeight="1">
      <c r="A14" s="28" t="s">
        <v>30</v>
      </c>
      <c r="B14" s="29"/>
      <c r="C14" s="29"/>
      <c r="D14" s="29"/>
      <c r="E14" s="30">
        <f>COUNTIFS(Registar!$A$8:$A$207,"&lt;&gt;",Registar!$H$8:$H$207,A14)</f>
        <v>0</v>
      </c>
      <c r="F14" s="29"/>
      <c r="G14" s="2"/>
      <c r="H14" s="28" t="s">
        <v>37</v>
      </c>
      <c r="I14" s="29"/>
      <c r="J14" s="29"/>
      <c r="K14" s="29"/>
      <c r="L14" s="30">
        <f>COUNTIFS(Registar!AE8:AE207,"Uskoro")</f>
        <v>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1.5" customHeight="1">
      <c r="A15" s="31" t="s">
        <v>43</v>
      </c>
      <c r="B15" s="32"/>
      <c r="C15" s="32"/>
      <c r="D15" s="32"/>
      <c r="E15" s="34">
        <f>COUNTIFS(Registar!$A$8:$A$207,"&lt;&gt;",Registar!$H$8:$H$207,A15)</f>
        <v>0</v>
      </c>
      <c r="F15" s="32"/>
      <c r="G15" s="2"/>
      <c r="H15" s="31" t="s">
        <v>53</v>
      </c>
      <c r="I15" s="32"/>
      <c r="J15" s="32"/>
      <c r="K15" s="32"/>
      <c r="L15" s="34">
        <f>COUNTIFS(Registar!AE8:AE207,"Nije određen")</f>
        <v>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1.5" customHeight="1">
      <c r="A16" s="31" t="s">
        <v>58</v>
      </c>
      <c r="B16" s="32"/>
      <c r="C16" s="32"/>
      <c r="D16" s="32"/>
      <c r="E16" s="34">
        <f>COUNTIFS(Registar!$A$8:$A$207,"&lt;&gt;",Registar!$H$8:$H$207,A16)</f>
        <v>0</v>
      </c>
      <c r="F16" s="32"/>
      <c r="G16" s="2"/>
      <c r="H16" s="31" t="s">
        <v>62</v>
      </c>
      <c r="I16" s="32"/>
      <c r="J16" s="32"/>
      <c r="K16" s="32"/>
      <c r="L16" s="34">
        <f>COUNTIFS(Registar!AF8:AF207,"Nedostaje ID")+COUNTIFS(Registar!AF8:AF207,"Dopuniti osnovno")</f>
        <v>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1.5" customHeight="1">
      <c r="A17" s="31" t="s">
        <v>67</v>
      </c>
      <c r="B17" s="32"/>
      <c r="C17" s="32"/>
      <c r="D17" s="32"/>
      <c r="E17" s="34">
        <f>COUNTIFS(Registar!$A$8:$A$207,"&lt;&gt;",Registar!$H$8:$H$207,A17)</f>
        <v>0</v>
      </c>
      <c r="F17" s="32"/>
      <c r="G17" s="2"/>
      <c r="H17" s="31" t="s">
        <v>68</v>
      </c>
      <c r="I17" s="32"/>
      <c r="J17" s="32"/>
      <c r="K17" s="32"/>
      <c r="L17" s="34">
        <f>COUNTIFS(Registar!AF8:AF207,"Duplikat ID")</f>
        <v>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1.5" customHeight="1">
      <c r="A18" s="31" t="s">
        <v>69</v>
      </c>
      <c r="B18" s="32"/>
      <c r="C18" s="32"/>
      <c r="D18" s="32"/>
      <c r="E18" s="34">
        <f>COUNTIFS(Registar!$A$8:$A$207,"&lt;&gt;",Registar!$H$8:$H$207,A18)</f>
        <v>0</v>
      </c>
      <c r="F18" s="32"/>
      <c r="G18" s="2"/>
      <c r="H18" s="31" t="s">
        <v>70</v>
      </c>
      <c r="I18" s="32"/>
      <c r="J18" s="32"/>
      <c r="K18" s="32"/>
      <c r="L18" s="34">
        <f>COUNTIFS(Registar!AG8:AG207,"Dopuniti evidenciju")</f>
        <v>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1.5" customHeight="1">
      <c r="A19" s="31" t="s">
        <v>71</v>
      </c>
      <c r="B19" s="32"/>
      <c r="C19" s="32"/>
      <c r="D19" s="32"/>
      <c r="E19" s="34">
        <f>COUNTIFS(Registar!$A$8:$A$207,"&lt;&gt;",Registar!$H$8:$H$207,A19)</f>
        <v>0</v>
      </c>
      <c r="F19" s="32"/>
      <c r="G19" s="2"/>
      <c r="H19" s="31" t="s">
        <v>72</v>
      </c>
      <c r="I19" s="32"/>
      <c r="J19" s="32"/>
      <c r="K19" s="32"/>
      <c r="L19" s="34">
        <f>COUNTIF(Registar!AG8:AG207,"Proveriti datume")+COUNTIF(Registar!AE8:AE207,"Proveriti datum")-COUNTIFS(Registar!AG8:AG207,"Proveriti datume",Registar!AE8:AE207,"Proveriti datum")</f>
        <v>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1.5" customHeight="1">
      <c r="A20" s="31" t="s">
        <v>73</v>
      </c>
      <c r="B20" s="32"/>
      <c r="C20" s="32"/>
      <c r="D20" s="32"/>
      <c r="E20" s="34">
        <f>COUNTIFS(Registar!$A$8:$A$207,"&lt;&gt;",Registar!$H$8:$H$207,A20)</f>
        <v>0</v>
      </c>
      <c r="F20" s="32"/>
      <c r="G20" s="2"/>
      <c r="H20" s="31" t="s">
        <v>74</v>
      </c>
      <c r="I20" s="32"/>
      <c r="J20" s="32"/>
      <c r="K20" s="32"/>
      <c r="L20" s="34">
        <f>COUNTIFS(Registar!Z8:Z207,"Da")-COUNT(Registar!AH8:AH207)</f>
        <v>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0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0" customHeight="1">
      <c r="A22" s="25" t="s">
        <v>75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10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4.0" customHeight="1">
      <c r="A23" s="28" t="s">
        <v>76</v>
      </c>
      <c r="B23" s="29"/>
      <c r="C23" s="29"/>
      <c r="D23" s="40" t="s">
        <v>77</v>
      </c>
      <c r="E23" s="41"/>
      <c r="F23" s="41"/>
      <c r="G23" s="41"/>
      <c r="H23" s="41"/>
      <c r="I23" s="41"/>
      <c r="J23" s="41"/>
      <c r="K23" s="41"/>
      <c r="L23" s="42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4.0" customHeight="1">
      <c r="A24" s="31" t="s">
        <v>78</v>
      </c>
      <c r="B24" s="32"/>
      <c r="C24" s="32"/>
      <c r="D24" s="43" t="s">
        <v>79</v>
      </c>
      <c r="E24" s="32"/>
      <c r="F24" s="32"/>
      <c r="G24" s="32"/>
      <c r="H24" s="32"/>
      <c r="I24" s="32"/>
      <c r="J24" s="32"/>
      <c r="K24" s="32"/>
      <c r="L24" s="44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0" customHeight="1">
      <c r="A25" s="31" t="s">
        <v>80</v>
      </c>
      <c r="B25" s="32"/>
      <c r="C25" s="32"/>
      <c r="D25" s="43" t="s">
        <v>81</v>
      </c>
      <c r="E25" s="32"/>
      <c r="F25" s="32"/>
      <c r="G25" s="32"/>
      <c r="H25" s="32"/>
      <c r="I25" s="32"/>
      <c r="J25" s="32"/>
      <c r="K25" s="32"/>
      <c r="L25" s="44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0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0" customHeight="1">
      <c r="A27" s="7" t="s">
        <v>82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0" customHeight="1"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0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0" customHeight="1">
      <c r="A30" s="7" t="s">
        <v>83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0" customHeight="1"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0" customHeight="1">
      <c r="A33" s="7" t="s">
        <v>84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0" customHeight="1"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0" customHeight="1">
      <c r="A36" s="7" t="s">
        <v>85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0" customHeight="1"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0">
    <mergeCell ref="A27:L28"/>
    <mergeCell ref="A30:L31"/>
    <mergeCell ref="A33:L34"/>
    <mergeCell ref="A36:L37"/>
    <mergeCell ref="A22:L22"/>
    <mergeCell ref="A23:C23"/>
    <mergeCell ref="D23:L23"/>
    <mergeCell ref="A24:C24"/>
    <mergeCell ref="D24:L24"/>
    <mergeCell ref="A25:C25"/>
    <mergeCell ref="D25:L25"/>
    <mergeCell ref="A2:L3"/>
    <mergeCell ref="A4:L4"/>
    <mergeCell ref="A6:D6"/>
    <mergeCell ref="E6:H6"/>
    <mergeCell ref="I6:L6"/>
    <mergeCell ref="F7:G7"/>
    <mergeCell ref="I7:L7"/>
    <mergeCell ref="G10:I11"/>
    <mergeCell ref="J10:L11"/>
    <mergeCell ref="B7:C7"/>
    <mergeCell ref="A9:C9"/>
    <mergeCell ref="D9:F9"/>
    <mergeCell ref="G9:I9"/>
    <mergeCell ref="J9:L9"/>
    <mergeCell ref="A10:C11"/>
    <mergeCell ref="D10:F11"/>
    <mergeCell ref="A13:F13"/>
    <mergeCell ref="H13:L13"/>
    <mergeCell ref="A14:D14"/>
    <mergeCell ref="E14:F14"/>
    <mergeCell ref="H14:K14"/>
    <mergeCell ref="E15:F15"/>
    <mergeCell ref="H15:K15"/>
    <mergeCell ref="A15:D15"/>
    <mergeCell ref="A16:D16"/>
    <mergeCell ref="E16:F16"/>
    <mergeCell ref="H16:K16"/>
    <mergeCell ref="A17:D17"/>
    <mergeCell ref="E17:F17"/>
    <mergeCell ref="H17:K17"/>
    <mergeCell ref="H19:K19"/>
    <mergeCell ref="H20:K20"/>
    <mergeCell ref="A18:D18"/>
    <mergeCell ref="E18:F18"/>
    <mergeCell ref="H18:K18"/>
    <mergeCell ref="A19:D19"/>
    <mergeCell ref="E19:F19"/>
    <mergeCell ref="A20:D20"/>
    <mergeCell ref="E20:F20"/>
  </mergeCells>
  <conditionalFormatting sqref="L14:L20">
    <cfRule type="expression" dxfId="5" priority="1">
      <formula>L14&gt;0</formula>
    </cfRule>
  </conditionalFormatting>
  <dataValidations>
    <dataValidation type="date" allowBlank="1" sqref="B7">
      <formula1>36526.0</formula1>
      <formula2>73050.0</formula2>
    </dataValidation>
    <dataValidation type="decimal" allowBlank="1" sqref="F7">
      <formula1>1.0</formula1>
      <formula2>365.0</formula2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832E7"/>
    <pageSetUpPr/>
  </sheetPr>
  <sheetViews>
    <sheetView showGridLines="0"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2.63" defaultRowHeight="15.0"/>
  <cols>
    <col customWidth="1" min="1" max="1" width="15.0"/>
    <col customWidth="1" min="2" max="2" width="30.0"/>
    <col customWidth="1" min="3" max="3" width="26.0"/>
    <col customWidth="1" min="4" max="4" width="24.0"/>
    <col customWidth="1" min="5" max="5" width="48.0"/>
    <col customWidth="1" min="6" max="6" width="25.0"/>
    <col customWidth="1" min="7" max="7" width="28.0"/>
    <col customWidth="1" min="8" max="9" width="25.0"/>
    <col customWidth="1" min="10" max="10" width="28.0"/>
    <col customWidth="1" min="11" max="11" width="47.0"/>
    <col customWidth="1" min="12" max="12" width="23.0"/>
    <col customWidth="1" min="13" max="13" width="25.0"/>
    <col customWidth="1" min="14" max="16" width="48.0"/>
    <col customWidth="1" min="17" max="18" width="47.0"/>
    <col customWidth="1" min="19" max="19" width="48.0"/>
    <col customWidth="1" min="20" max="20" width="42.0"/>
    <col customWidth="1" min="21" max="21" width="28.0"/>
    <col customWidth="1" min="22" max="22" width="20.0"/>
    <col customWidth="1" min="23" max="23" width="23.0"/>
    <col customWidth="1" min="24" max="24" width="46.0"/>
    <col customWidth="1" min="25" max="25" width="48.0"/>
    <col customWidth="1" min="26" max="26" width="22.0"/>
    <col customWidth="1" min="27" max="27" width="32.0"/>
    <col customWidth="1" min="28" max="28" width="52.0"/>
    <col customWidth="1" min="29" max="29" width="28.0"/>
    <col customWidth="1" min="30" max="32" width="25.0"/>
    <col customWidth="1" min="33" max="33" width="31.0"/>
    <col customWidth="1" min="34" max="34" width="22.0"/>
  </cols>
  <sheetData>
    <row r="1" ht="24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ht="24.0" customHeight="1">
      <c r="A2" s="4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ht="24.0" customHeight="1">
      <c r="A3" s="5"/>
      <c r="B3" s="5"/>
      <c r="C3" s="5"/>
      <c r="D3" s="5"/>
      <c r="E3" s="5"/>
      <c r="F3" s="5"/>
      <c r="G3" s="5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ht="24.0" customHeight="1">
      <c r="A4" s="6" t="s">
        <v>17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ht="24.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ht="24.0" customHeight="1">
      <c r="A6" s="19" t="s">
        <v>19</v>
      </c>
      <c r="B6" s="20"/>
      <c r="C6" s="20"/>
      <c r="D6" s="20"/>
      <c r="E6" s="20"/>
      <c r="F6" s="20"/>
      <c r="G6" s="20"/>
      <c r="H6" s="10"/>
      <c r="I6" s="19" t="s">
        <v>21</v>
      </c>
      <c r="J6" s="20"/>
      <c r="K6" s="20"/>
      <c r="L6" s="20"/>
      <c r="M6" s="20"/>
      <c r="N6" s="20"/>
      <c r="O6" s="20"/>
      <c r="P6" s="10"/>
      <c r="Q6" s="19" t="s">
        <v>22</v>
      </c>
      <c r="R6" s="20"/>
      <c r="S6" s="20"/>
      <c r="T6" s="20"/>
      <c r="U6" s="20"/>
      <c r="V6" s="20"/>
      <c r="W6" s="20"/>
      <c r="X6" s="20"/>
      <c r="Y6" s="10"/>
      <c r="Z6" s="19" t="s">
        <v>23</v>
      </c>
      <c r="AA6" s="20"/>
      <c r="AB6" s="20"/>
      <c r="AC6" s="20"/>
      <c r="AD6" s="10"/>
      <c r="AE6" s="19" t="s">
        <v>25</v>
      </c>
      <c r="AF6" s="20"/>
      <c r="AG6" s="20"/>
      <c r="AH6" s="10"/>
    </row>
    <row r="7" ht="42.75" customHeight="1">
      <c r="A7" s="24" t="s">
        <v>5</v>
      </c>
      <c r="B7" s="26" t="s">
        <v>10</v>
      </c>
      <c r="C7" s="26" t="s">
        <v>24</v>
      </c>
      <c r="D7" s="26" t="s">
        <v>29</v>
      </c>
      <c r="E7" s="26" t="s">
        <v>18</v>
      </c>
      <c r="F7" s="26" t="s">
        <v>26</v>
      </c>
      <c r="G7" s="26" t="s">
        <v>20</v>
      </c>
      <c r="H7" s="26" t="s">
        <v>14</v>
      </c>
      <c r="I7" s="26" t="s">
        <v>32</v>
      </c>
      <c r="J7" s="26" t="s">
        <v>33</v>
      </c>
      <c r="K7" s="26" t="s">
        <v>34</v>
      </c>
      <c r="L7" s="26" t="s">
        <v>35</v>
      </c>
      <c r="M7" s="26" t="s">
        <v>38</v>
      </c>
      <c r="N7" s="26" t="s">
        <v>39</v>
      </c>
      <c r="O7" s="26" t="s">
        <v>41</v>
      </c>
      <c r="P7" s="26" t="s">
        <v>42</v>
      </c>
      <c r="Q7" s="26" t="s">
        <v>44</v>
      </c>
      <c r="R7" s="26" t="s">
        <v>46</v>
      </c>
      <c r="S7" s="26" t="s">
        <v>47</v>
      </c>
      <c r="T7" s="26" t="s">
        <v>50</v>
      </c>
      <c r="U7" s="26" t="s">
        <v>51</v>
      </c>
      <c r="V7" s="26" t="s">
        <v>52</v>
      </c>
      <c r="W7" s="26" t="s">
        <v>54</v>
      </c>
      <c r="X7" s="26" t="s">
        <v>55</v>
      </c>
      <c r="Y7" s="26" t="s">
        <v>56</v>
      </c>
      <c r="Z7" s="26" t="s">
        <v>57</v>
      </c>
      <c r="AA7" s="26" t="s">
        <v>45</v>
      </c>
      <c r="AB7" s="26" t="s">
        <v>59</v>
      </c>
      <c r="AC7" s="26" t="s">
        <v>60</v>
      </c>
      <c r="AD7" s="26" t="s">
        <v>61</v>
      </c>
      <c r="AE7" s="26" t="s">
        <v>63</v>
      </c>
      <c r="AF7" s="26" t="s">
        <v>64</v>
      </c>
      <c r="AG7" s="26" t="s">
        <v>65</v>
      </c>
      <c r="AH7" s="35" t="s">
        <v>66</v>
      </c>
    </row>
    <row r="8" ht="54.0" customHeight="1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9"/>
      <c r="W8" s="39"/>
      <c r="X8" s="37"/>
      <c r="Y8" s="37"/>
      <c r="Z8" s="37"/>
      <c r="AA8" s="37"/>
      <c r="AB8" s="37"/>
      <c r="AC8" s="37"/>
      <c r="AD8" s="39"/>
      <c r="AE8" s="46" t="str">
        <f>IF(COUNTA(A8:AD8)=0,"",IF(OR(H8="Povučeno",H8="Odbijeno",H8="Obustavljeno"),"Nije aktivno",IF(W8="","Nije određen",IF(OR(NOT(ISNUMBER(W8)),W8&lt;36526,W8&gt;73050),"Proveriti datum",IF(W8&lt;Pregled!$B$7,"Kasni",IF(W8&lt;=Pregled!$B$7+Pregled!$F$7,"Uskoro","U roku"))))))</f>
        <v/>
      </c>
      <c r="AF8" s="46" t="str">
        <f>IF(COUNTA(A8:AD8)=0,"",IF(A8="","Nedostaje ID",IF(COUNTIFS($A$8:$A$207,A8)&gt;1,"Duplikat ID",IF(OR(B8="",E8="",G8="",COUNTIF(Liste!$B$7:$B$13,H8)=0),"Dopuniti osnovno","Popunjeno"))))</f>
        <v/>
      </c>
      <c r="AG8" s="46" t="str">
        <f>IF(COUNTA(A8:AD8)=0,"",IF(NOT(OR(H8="Pilot",H8="Uslovno odobreno",H8="Odobreno")),"Nije aktivna odluka",IF(OR(K8="",N8="",O8="",P8="",Q8="",R8="",S8="",T8="",U8="",V8="",W8="",X8=""),"Dopuniti evidenciju",IF(OR(NOT(ISNUMBER(V8)),NOT(ISNUMBER(W8))),"Proveriti datume",IF(OR(V8&lt;36526,V8&gt;73050,W8&lt;36526,W8&gt;73050,V8&gt;Pregled!$B$7,W8&lt;V8),"Proveriti datume","Evidentirano")))))</f>
        <v/>
      </c>
      <c r="AH8" s="47" t="str">
        <f>IF(AND(Z8="Da",AA8&lt;&gt;"",AB8&lt;&gt;"",AC8&lt;&gt;"",ISNUMBER(AD8),AD8&gt;=36526,AD8&lt;=73050,AD8&lt;=Pregled!$B$7,AF8="Popunjeno",AG8="Evidentirano",OR(H8="Pilot",H8="Uslovno odobreno",H8="Odobreno")),COUNT($AH$7:AH7)+1,"")</f>
        <v/>
      </c>
    </row>
    <row r="9" ht="54.0" customHeight="1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9"/>
      <c r="W9" s="39"/>
      <c r="X9" s="37"/>
      <c r="Y9" s="37"/>
      <c r="Z9" s="37"/>
      <c r="AA9" s="37"/>
      <c r="AB9" s="37"/>
      <c r="AC9" s="37"/>
      <c r="AD9" s="39"/>
      <c r="AE9" s="46" t="str">
        <f>IF(COUNTA(A9:AD9)=0,"",IF(OR(H9="Povučeno",H9="Odbijeno",H9="Obustavljeno"),"Nije aktivno",IF(W9="","Nije određen",IF(OR(NOT(ISNUMBER(W9)),W9&lt;36526,W9&gt;73050),"Proveriti datum",IF(W9&lt;Pregled!$B$7,"Kasni",IF(W9&lt;=Pregled!$B$7+Pregled!$F$7,"Uskoro","U roku"))))))</f>
        <v/>
      </c>
      <c r="AF9" s="46" t="str">
        <f>IF(COUNTA(A9:AD9)=0,"",IF(A9="","Nedostaje ID",IF(COUNTIFS($A$8:$A$207,A9)&gt;1,"Duplikat ID",IF(OR(B9="",E9="",G9="",COUNTIF(Liste!$B$7:$B$13,H9)=0),"Dopuniti osnovno","Popunjeno"))))</f>
        <v/>
      </c>
      <c r="AG9" s="46" t="str">
        <f>IF(COUNTA(A9:AD9)=0,"",IF(NOT(OR(H9="Pilot",H9="Uslovno odobreno",H9="Odobreno")),"Nije aktivna odluka",IF(OR(K9="",N9="",O9="",P9="",Q9="",R9="",S9="",T9="",U9="",V9="",W9="",X9=""),"Dopuniti evidenciju",IF(OR(NOT(ISNUMBER(V9)),NOT(ISNUMBER(W9))),"Proveriti datume",IF(OR(V9&lt;36526,V9&gt;73050,W9&lt;36526,W9&gt;73050,V9&gt;Pregled!$B$7,W9&lt;V9),"Proveriti datume","Evidentirano")))))</f>
        <v/>
      </c>
      <c r="AH9" s="47" t="str">
        <f>IF(AND(Z9="Da",AA9&lt;&gt;"",AB9&lt;&gt;"",AC9&lt;&gt;"",ISNUMBER(AD9),AD9&gt;=36526,AD9&lt;=73050,AD9&lt;=Pregled!$B$7,AF9="Popunjeno",AG9="Evidentirano",OR(H9="Pilot",H9="Uslovno odobreno",H9="Odobreno")),COUNT($AH$7:AH8)+1,"")</f>
        <v/>
      </c>
    </row>
    <row r="10" ht="54.0" customHeight="1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9"/>
      <c r="W10" s="39"/>
      <c r="X10" s="37"/>
      <c r="Y10" s="37"/>
      <c r="Z10" s="37"/>
      <c r="AA10" s="37"/>
      <c r="AB10" s="37"/>
      <c r="AC10" s="37"/>
      <c r="AD10" s="39"/>
      <c r="AE10" s="46" t="str">
        <f>IF(COUNTA(A10:AD10)=0,"",IF(OR(H10="Povučeno",H10="Odbijeno",H10="Obustavljeno"),"Nije aktivno",IF(W10="","Nije određen",IF(OR(NOT(ISNUMBER(W10)),W10&lt;36526,W10&gt;73050),"Proveriti datum",IF(W10&lt;Pregled!$B$7,"Kasni",IF(W10&lt;=Pregled!$B$7+Pregled!$F$7,"Uskoro","U roku"))))))</f>
        <v/>
      </c>
      <c r="AF10" s="46" t="str">
        <f>IF(COUNTA(A10:AD10)=0,"",IF(A10="","Nedostaje ID",IF(COUNTIFS($A$8:$A$207,A10)&gt;1,"Duplikat ID",IF(OR(B10="",E10="",G10="",COUNTIF(Liste!$B$7:$B$13,H10)=0),"Dopuniti osnovno","Popunjeno"))))</f>
        <v/>
      </c>
      <c r="AG10" s="46" t="str">
        <f>IF(COUNTA(A10:AD10)=0,"",IF(NOT(OR(H10="Pilot",H10="Uslovno odobreno",H10="Odobreno")),"Nije aktivna odluka",IF(OR(K10="",N10="",O10="",P10="",Q10="",R10="",S10="",T10="",U10="",V10="",W10="",X10=""),"Dopuniti evidenciju",IF(OR(NOT(ISNUMBER(V10)),NOT(ISNUMBER(W10))),"Proveriti datume",IF(OR(V10&lt;36526,V10&gt;73050,W10&lt;36526,W10&gt;73050,V10&gt;Pregled!$B$7,W10&lt;V10),"Proveriti datume","Evidentirano")))))</f>
        <v/>
      </c>
      <c r="AH10" s="47" t="str">
        <f>IF(AND(Z10="Da",AA10&lt;&gt;"",AB10&lt;&gt;"",AC10&lt;&gt;"",ISNUMBER(AD10),AD10&gt;=36526,AD10&lt;=73050,AD10&lt;=Pregled!$B$7,AF10="Popunjeno",AG10="Evidentirano",OR(H10="Pilot",H10="Uslovno odobreno",H10="Odobreno")),COUNT($AH$7:AH9)+1,"")</f>
        <v/>
      </c>
    </row>
    <row r="11" ht="54.0" customHeight="1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9"/>
      <c r="W11" s="39"/>
      <c r="X11" s="37"/>
      <c r="Y11" s="37"/>
      <c r="Z11" s="37"/>
      <c r="AA11" s="37"/>
      <c r="AB11" s="37"/>
      <c r="AC11" s="37"/>
      <c r="AD11" s="39"/>
      <c r="AE11" s="46" t="str">
        <f>IF(COUNTA(A11:AD11)=0,"",IF(OR(H11="Povučeno",H11="Odbijeno",H11="Obustavljeno"),"Nije aktivno",IF(W11="","Nije određen",IF(OR(NOT(ISNUMBER(W11)),W11&lt;36526,W11&gt;73050),"Proveriti datum",IF(W11&lt;Pregled!$B$7,"Kasni",IF(W11&lt;=Pregled!$B$7+Pregled!$F$7,"Uskoro","U roku"))))))</f>
        <v/>
      </c>
      <c r="AF11" s="46" t="str">
        <f>IF(COUNTA(A11:AD11)=0,"",IF(A11="","Nedostaje ID",IF(COUNTIFS($A$8:$A$207,A11)&gt;1,"Duplikat ID",IF(OR(B11="",E11="",G11="",COUNTIF(Liste!$B$7:$B$13,H11)=0),"Dopuniti osnovno","Popunjeno"))))</f>
        <v/>
      </c>
      <c r="AG11" s="46" t="str">
        <f>IF(COUNTA(A11:AD11)=0,"",IF(NOT(OR(H11="Pilot",H11="Uslovno odobreno",H11="Odobreno")),"Nije aktivna odluka",IF(OR(K11="",N11="",O11="",P11="",Q11="",R11="",S11="",T11="",U11="",V11="",W11="",X11=""),"Dopuniti evidenciju",IF(OR(NOT(ISNUMBER(V11)),NOT(ISNUMBER(W11))),"Proveriti datume",IF(OR(V11&lt;36526,V11&gt;73050,W11&lt;36526,W11&gt;73050,V11&gt;Pregled!$B$7,W11&lt;V11),"Proveriti datume","Evidentirano")))))</f>
        <v/>
      </c>
      <c r="AH11" s="47" t="str">
        <f>IF(AND(Z11="Da",AA11&lt;&gt;"",AB11&lt;&gt;"",AC11&lt;&gt;"",ISNUMBER(AD11),AD11&gt;=36526,AD11&lt;=73050,AD11&lt;=Pregled!$B$7,AF11="Popunjeno",AG11="Evidentirano",OR(H11="Pilot",H11="Uslovno odobreno",H11="Odobreno")),COUNT($AH$7:AH10)+1,"")</f>
        <v/>
      </c>
    </row>
    <row r="12" ht="54.0" customHeight="1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9"/>
      <c r="W12" s="39"/>
      <c r="X12" s="37"/>
      <c r="Y12" s="37"/>
      <c r="Z12" s="37"/>
      <c r="AA12" s="37"/>
      <c r="AB12" s="37"/>
      <c r="AC12" s="37"/>
      <c r="AD12" s="39"/>
      <c r="AE12" s="46" t="str">
        <f>IF(COUNTA(A12:AD12)=0,"",IF(OR(H12="Povučeno",H12="Odbijeno",H12="Obustavljeno"),"Nije aktivno",IF(W12="","Nije određen",IF(OR(NOT(ISNUMBER(W12)),W12&lt;36526,W12&gt;73050),"Proveriti datum",IF(W12&lt;Pregled!$B$7,"Kasni",IF(W12&lt;=Pregled!$B$7+Pregled!$F$7,"Uskoro","U roku"))))))</f>
        <v/>
      </c>
      <c r="AF12" s="46" t="str">
        <f>IF(COUNTA(A12:AD12)=0,"",IF(A12="","Nedostaje ID",IF(COUNTIFS($A$8:$A$207,A12)&gt;1,"Duplikat ID",IF(OR(B12="",E12="",G12="",COUNTIF(Liste!$B$7:$B$13,H12)=0),"Dopuniti osnovno","Popunjeno"))))</f>
        <v/>
      </c>
      <c r="AG12" s="46" t="str">
        <f>IF(COUNTA(A12:AD12)=0,"",IF(NOT(OR(H12="Pilot",H12="Uslovno odobreno",H12="Odobreno")),"Nije aktivna odluka",IF(OR(K12="",N12="",O12="",P12="",Q12="",R12="",S12="",T12="",U12="",V12="",W12="",X12=""),"Dopuniti evidenciju",IF(OR(NOT(ISNUMBER(V12)),NOT(ISNUMBER(W12))),"Proveriti datume",IF(OR(V12&lt;36526,V12&gt;73050,W12&lt;36526,W12&gt;73050,V12&gt;Pregled!$B$7,W12&lt;V12),"Proveriti datume","Evidentirano")))))</f>
        <v/>
      </c>
      <c r="AH12" s="47" t="str">
        <f>IF(AND(Z12="Da",AA12&lt;&gt;"",AB12&lt;&gt;"",AC12&lt;&gt;"",ISNUMBER(AD12),AD12&gt;=36526,AD12&lt;=73050,AD12&lt;=Pregled!$B$7,AF12="Popunjeno",AG12="Evidentirano",OR(H12="Pilot",H12="Uslovno odobreno",H12="Odobreno")),COUNT($AH$7:AH11)+1,"")</f>
        <v/>
      </c>
    </row>
    <row r="13" ht="54.0" customHeight="1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9"/>
      <c r="W13" s="39"/>
      <c r="X13" s="37"/>
      <c r="Y13" s="37"/>
      <c r="Z13" s="37"/>
      <c r="AA13" s="37"/>
      <c r="AB13" s="37"/>
      <c r="AC13" s="37"/>
      <c r="AD13" s="39"/>
      <c r="AE13" s="46" t="str">
        <f>IF(COUNTA(A13:AD13)=0,"",IF(OR(H13="Povučeno",H13="Odbijeno",H13="Obustavljeno"),"Nije aktivno",IF(W13="","Nije određen",IF(OR(NOT(ISNUMBER(W13)),W13&lt;36526,W13&gt;73050),"Proveriti datum",IF(W13&lt;Pregled!$B$7,"Kasni",IF(W13&lt;=Pregled!$B$7+Pregled!$F$7,"Uskoro","U roku"))))))</f>
        <v/>
      </c>
      <c r="AF13" s="46" t="str">
        <f>IF(COUNTA(A13:AD13)=0,"",IF(A13="","Nedostaje ID",IF(COUNTIFS($A$8:$A$207,A13)&gt;1,"Duplikat ID",IF(OR(B13="",E13="",G13="",COUNTIF(Liste!$B$7:$B$13,H13)=0),"Dopuniti osnovno","Popunjeno"))))</f>
        <v/>
      </c>
      <c r="AG13" s="46" t="str">
        <f>IF(COUNTA(A13:AD13)=0,"",IF(NOT(OR(H13="Pilot",H13="Uslovno odobreno",H13="Odobreno")),"Nije aktivna odluka",IF(OR(K13="",N13="",O13="",P13="",Q13="",R13="",S13="",T13="",U13="",V13="",W13="",X13=""),"Dopuniti evidenciju",IF(OR(NOT(ISNUMBER(V13)),NOT(ISNUMBER(W13))),"Proveriti datume",IF(OR(V13&lt;36526,V13&gt;73050,W13&lt;36526,W13&gt;73050,V13&gt;Pregled!$B$7,W13&lt;V13),"Proveriti datume","Evidentirano")))))</f>
        <v/>
      </c>
      <c r="AH13" s="47" t="str">
        <f>IF(AND(Z13="Da",AA13&lt;&gt;"",AB13&lt;&gt;"",AC13&lt;&gt;"",ISNUMBER(AD13),AD13&gt;=36526,AD13&lt;=73050,AD13&lt;=Pregled!$B$7,AF13="Popunjeno",AG13="Evidentirano",OR(H13="Pilot",H13="Uslovno odobreno",H13="Odobreno")),COUNT($AH$7:AH12)+1,"")</f>
        <v/>
      </c>
    </row>
    <row r="14" ht="54.0" customHeight="1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9"/>
      <c r="W14" s="39"/>
      <c r="X14" s="37"/>
      <c r="Y14" s="37"/>
      <c r="Z14" s="37"/>
      <c r="AA14" s="37"/>
      <c r="AB14" s="37"/>
      <c r="AC14" s="37"/>
      <c r="AD14" s="39"/>
      <c r="AE14" s="46" t="str">
        <f>IF(COUNTA(A14:AD14)=0,"",IF(OR(H14="Povučeno",H14="Odbijeno",H14="Obustavljeno"),"Nije aktivno",IF(W14="","Nije određen",IF(OR(NOT(ISNUMBER(W14)),W14&lt;36526,W14&gt;73050),"Proveriti datum",IF(W14&lt;Pregled!$B$7,"Kasni",IF(W14&lt;=Pregled!$B$7+Pregled!$F$7,"Uskoro","U roku"))))))</f>
        <v/>
      </c>
      <c r="AF14" s="46" t="str">
        <f>IF(COUNTA(A14:AD14)=0,"",IF(A14="","Nedostaje ID",IF(COUNTIFS($A$8:$A$207,A14)&gt;1,"Duplikat ID",IF(OR(B14="",E14="",G14="",COUNTIF(Liste!$B$7:$B$13,H14)=0),"Dopuniti osnovno","Popunjeno"))))</f>
        <v/>
      </c>
      <c r="AG14" s="46" t="str">
        <f>IF(COUNTA(A14:AD14)=0,"",IF(NOT(OR(H14="Pilot",H14="Uslovno odobreno",H14="Odobreno")),"Nije aktivna odluka",IF(OR(K14="",N14="",O14="",P14="",Q14="",R14="",S14="",T14="",U14="",V14="",W14="",X14=""),"Dopuniti evidenciju",IF(OR(NOT(ISNUMBER(V14)),NOT(ISNUMBER(W14))),"Proveriti datume",IF(OR(V14&lt;36526,V14&gt;73050,W14&lt;36526,W14&gt;73050,V14&gt;Pregled!$B$7,W14&lt;V14),"Proveriti datume","Evidentirano")))))</f>
        <v/>
      </c>
      <c r="AH14" s="47" t="str">
        <f>IF(AND(Z14="Da",AA14&lt;&gt;"",AB14&lt;&gt;"",AC14&lt;&gt;"",ISNUMBER(AD14),AD14&gt;=36526,AD14&lt;=73050,AD14&lt;=Pregled!$B$7,AF14="Popunjeno",AG14="Evidentirano",OR(H14="Pilot",H14="Uslovno odobreno",H14="Odobreno")),COUNT($AH$7:AH13)+1,"")</f>
        <v/>
      </c>
    </row>
    <row r="15" ht="54.0" customHeight="1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9"/>
      <c r="W15" s="39"/>
      <c r="X15" s="37"/>
      <c r="Y15" s="37"/>
      <c r="Z15" s="37"/>
      <c r="AA15" s="37"/>
      <c r="AB15" s="37"/>
      <c r="AC15" s="37"/>
      <c r="AD15" s="39"/>
      <c r="AE15" s="46" t="str">
        <f>IF(COUNTA(A15:AD15)=0,"",IF(OR(H15="Povučeno",H15="Odbijeno",H15="Obustavljeno"),"Nije aktivno",IF(W15="","Nije određen",IF(OR(NOT(ISNUMBER(W15)),W15&lt;36526,W15&gt;73050),"Proveriti datum",IF(W15&lt;Pregled!$B$7,"Kasni",IF(W15&lt;=Pregled!$B$7+Pregled!$F$7,"Uskoro","U roku"))))))</f>
        <v/>
      </c>
      <c r="AF15" s="46" t="str">
        <f>IF(COUNTA(A15:AD15)=0,"",IF(A15="","Nedostaje ID",IF(COUNTIFS($A$8:$A$207,A15)&gt;1,"Duplikat ID",IF(OR(B15="",E15="",G15="",COUNTIF(Liste!$B$7:$B$13,H15)=0),"Dopuniti osnovno","Popunjeno"))))</f>
        <v/>
      </c>
      <c r="AG15" s="46" t="str">
        <f>IF(COUNTA(A15:AD15)=0,"",IF(NOT(OR(H15="Pilot",H15="Uslovno odobreno",H15="Odobreno")),"Nije aktivna odluka",IF(OR(K15="",N15="",O15="",P15="",Q15="",R15="",S15="",T15="",U15="",V15="",W15="",X15=""),"Dopuniti evidenciju",IF(OR(NOT(ISNUMBER(V15)),NOT(ISNUMBER(W15))),"Proveriti datume",IF(OR(V15&lt;36526,V15&gt;73050,W15&lt;36526,W15&gt;73050,V15&gt;Pregled!$B$7,W15&lt;V15),"Proveriti datume","Evidentirano")))))</f>
        <v/>
      </c>
      <c r="AH15" s="47" t="str">
        <f>IF(AND(Z15="Da",AA15&lt;&gt;"",AB15&lt;&gt;"",AC15&lt;&gt;"",ISNUMBER(AD15),AD15&gt;=36526,AD15&lt;=73050,AD15&lt;=Pregled!$B$7,AF15="Popunjeno",AG15="Evidentirano",OR(H15="Pilot",H15="Uslovno odobreno",H15="Odobreno")),COUNT($AH$7:AH14)+1,"")</f>
        <v/>
      </c>
    </row>
    <row r="16" ht="54.0" customHeight="1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9"/>
      <c r="W16" s="39"/>
      <c r="X16" s="37"/>
      <c r="Y16" s="37"/>
      <c r="Z16" s="37"/>
      <c r="AA16" s="37"/>
      <c r="AB16" s="37"/>
      <c r="AC16" s="37"/>
      <c r="AD16" s="39"/>
      <c r="AE16" s="46" t="str">
        <f>IF(COUNTA(A16:AD16)=0,"",IF(OR(H16="Povučeno",H16="Odbijeno",H16="Obustavljeno"),"Nije aktivno",IF(W16="","Nije određen",IF(OR(NOT(ISNUMBER(W16)),W16&lt;36526,W16&gt;73050),"Proveriti datum",IF(W16&lt;Pregled!$B$7,"Kasni",IF(W16&lt;=Pregled!$B$7+Pregled!$F$7,"Uskoro","U roku"))))))</f>
        <v/>
      </c>
      <c r="AF16" s="46" t="str">
        <f>IF(COUNTA(A16:AD16)=0,"",IF(A16="","Nedostaje ID",IF(COUNTIFS($A$8:$A$207,A16)&gt;1,"Duplikat ID",IF(OR(B16="",E16="",G16="",COUNTIF(Liste!$B$7:$B$13,H16)=0),"Dopuniti osnovno","Popunjeno"))))</f>
        <v/>
      </c>
      <c r="AG16" s="46" t="str">
        <f>IF(COUNTA(A16:AD16)=0,"",IF(NOT(OR(H16="Pilot",H16="Uslovno odobreno",H16="Odobreno")),"Nije aktivna odluka",IF(OR(K16="",N16="",O16="",P16="",Q16="",R16="",S16="",T16="",U16="",V16="",W16="",X16=""),"Dopuniti evidenciju",IF(OR(NOT(ISNUMBER(V16)),NOT(ISNUMBER(W16))),"Proveriti datume",IF(OR(V16&lt;36526,V16&gt;73050,W16&lt;36526,W16&gt;73050,V16&gt;Pregled!$B$7,W16&lt;V16),"Proveriti datume","Evidentirano")))))</f>
        <v/>
      </c>
      <c r="AH16" s="47" t="str">
        <f>IF(AND(Z16="Da",AA16&lt;&gt;"",AB16&lt;&gt;"",AC16&lt;&gt;"",ISNUMBER(AD16),AD16&gt;=36526,AD16&lt;=73050,AD16&lt;=Pregled!$B$7,AF16="Popunjeno",AG16="Evidentirano",OR(H16="Pilot",H16="Uslovno odobreno",H16="Odobreno")),COUNT($AH$7:AH15)+1,"")</f>
        <v/>
      </c>
    </row>
    <row r="17" ht="54.0" customHeight="1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9"/>
      <c r="W17" s="39"/>
      <c r="X17" s="37"/>
      <c r="Y17" s="37"/>
      <c r="Z17" s="37"/>
      <c r="AA17" s="37"/>
      <c r="AB17" s="37"/>
      <c r="AC17" s="37"/>
      <c r="AD17" s="39"/>
      <c r="AE17" s="46" t="str">
        <f>IF(COUNTA(A17:AD17)=0,"",IF(OR(H17="Povučeno",H17="Odbijeno",H17="Obustavljeno"),"Nije aktivno",IF(W17="","Nije određen",IF(OR(NOT(ISNUMBER(W17)),W17&lt;36526,W17&gt;73050),"Proveriti datum",IF(W17&lt;Pregled!$B$7,"Kasni",IF(W17&lt;=Pregled!$B$7+Pregled!$F$7,"Uskoro","U roku"))))))</f>
        <v/>
      </c>
      <c r="AF17" s="46" t="str">
        <f>IF(COUNTA(A17:AD17)=0,"",IF(A17="","Nedostaje ID",IF(COUNTIFS($A$8:$A$207,A17)&gt;1,"Duplikat ID",IF(OR(B17="",E17="",G17="",COUNTIF(Liste!$B$7:$B$13,H17)=0),"Dopuniti osnovno","Popunjeno"))))</f>
        <v/>
      </c>
      <c r="AG17" s="46" t="str">
        <f>IF(COUNTA(A17:AD17)=0,"",IF(NOT(OR(H17="Pilot",H17="Uslovno odobreno",H17="Odobreno")),"Nije aktivna odluka",IF(OR(K17="",N17="",O17="",P17="",Q17="",R17="",S17="",T17="",U17="",V17="",W17="",X17=""),"Dopuniti evidenciju",IF(OR(NOT(ISNUMBER(V17)),NOT(ISNUMBER(W17))),"Proveriti datume",IF(OR(V17&lt;36526,V17&gt;73050,W17&lt;36526,W17&gt;73050,V17&gt;Pregled!$B$7,W17&lt;V17),"Proveriti datume","Evidentirano")))))</f>
        <v/>
      </c>
      <c r="AH17" s="47" t="str">
        <f>IF(AND(Z17="Da",AA17&lt;&gt;"",AB17&lt;&gt;"",AC17&lt;&gt;"",ISNUMBER(AD17),AD17&gt;=36526,AD17&lt;=73050,AD17&lt;=Pregled!$B$7,AF17="Popunjeno",AG17="Evidentirano",OR(H17="Pilot",H17="Uslovno odobreno",H17="Odobreno")),COUNT($AH$7:AH16)+1,"")</f>
        <v/>
      </c>
    </row>
    <row r="18" ht="54.0" customHeight="1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9"/>
      <c r="W18" s="39"/>
      <c r="X18" s="37"/>
      <c r="Y18" s="37"/>
      <c r="Z18" s="37"/>
      <c r="AA18" s="37"/>
      <c r="AB18" s="37"/>
      <c r="AC18" s="37"/>
      <c r="AD18" s="39"/>
      <c r="AE18" s="46" t="str">
        <f>IF(COUNTA(A18:AD18)=0,"",IF(OR(H18="Povučeno",H18="Odbijeno",H18="Obustavljeno"),"Nije aktivno",IF(W18="","Nije određen",IF(OR(NOT(ISNUMBER(W18)),W18&lt;36526,W18&gt;73050),"Proveriti datum",IF(W18&lt;Pregled!$B$7,"Kasni",IF(W18&lt;=Pregled!$B$7+Pregled!$F$7,"Uskoro","U roku"))))))</f>
        <v/>
      </c>
      <c r="AF18" s="46" t="str">
        <f>IF(COUNTA(A18:AD18)=0,"",IF(A18="","Nedostaje ID",IF(COUNTIFS($A$8:$A$207,A18)&gt;1,"Duplikat ID",IF(OR(B18="",E18="",G18="",COUNTIF(Liste!$B$7:$B$13,H18)=0),"Dopuniti osnovno","Popunjeno"))))</f>
        <v/>
      </c>
      <c r="AG18" s="46" t="str">
        <f>IF(COUNTA(A18:AD18)=0,"",IF(NOT(OR(H18="Pilot",H18="Uslovno odobreno",H18="Odobreno")),"Nije aktivna odluka",IF(OR(K18="",N18="",O18="",P18="",Q18="",R18="",S18="",T18="",U18="",V18="",W18="",X18=""),"Dopuniti evidenciju",IF(OR(NOT(ISNUMBER(V18)),NOT(ISNUMBER(W18))),"Proveriti datume",IF(OR(V18&lt;36526,V18&gt;73050,W18&lt;36526,W18&gt;73050,V18&gt;Pregled!$B$7,W18&lt;V18),"Proveriti datume","Evidentirano")))))</f>
        <v/>
      </c>
      <c r="AH18" s="47" t="str">
        <f>IF(AND(Z18="Da",AA18&lt;&gt;"",AB18&lt;&gt;"",AC18&lt;&gt;"",ISNUMBER(AD18),AD18&gt;=36526,AD18&lt;=73050,AD18&lt;=Pregled!$B$7,AF18="Popunjeno",AG18="Evidentirano",OR(H18="Pilot",H18="Uslovno odobreno",H18="Odobreno")),COUNT($AH$7:AH17)+1,"")</f>
        <v/>
      </c>
    </row>
    <row r="19" ht="54.0" customHeight="1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9"/>
      <c r="W19" s="39"/>
      <c r="X19" s="37"/>
      <c r="Y19" s="37"/>
      <c r="Z19" s="37"/>
      <c r="AA19" s="37"/>
      <c r="AB19" s="37"/>
      <c r="AC19" s="37"/>
      <c r="AD19" s="39"/>
      <c r="AE19" s="46" t="str">
        <f>IF(COUNTA(A19:AD19)=0,"",IF(OR(H19="Povučeno",H19="Odbijeno",H19="Obustavljeno"),"Nije aktivno",IF(W19="","Nije određen",IF(OR(NOT(ISNUMBER(W19)),W19&lt;36526,W19&gt;73050),"Proveriti datum",IF(W19&lt;Pregled!$B$7,"Kasni",IF(W19&lt;=Pregled!$B$7+Pregled!$F$7,"Uskoro","U roku"))))))</f>
        <v/>
      </c>
      <c r="AF19" s="46" t="str">
        <f>IF(COUNTA(A19:AD19)=0,"",IF(A19="","Nedostaje ID",IF(COUNTIFS($A$8:$A$207,A19)&gt;1,"Duplikat ID",IF(OR(B19="",E19="",G19="",COUNTIF(Liste!$B$7:$B$13,H19)=0),"Dopuniti osnovno","Popunjeno"))))</f>
        <v/>
      </c>
      <c r="AG19" s="46" t="str">
        <f>IF(COUNTA(A19:AD19)=0,"",IF(NOT(OR(H19="Pilot",H19="Uslovno odobreno",H19="Odobreno")),"Nije aktivna odluka",IF(OR(K19="",N19="",O19="",P19="",Q19="",R19="",S19="",T19="",U19="",V19="",W19="",X19=""),"Dopuniti evidenciju",IF(OR(NOT(ISNUMBER(V19)),NOT(ISNUMBER(W19))),"Proveriti datume",IF(OR(V19&lt;36526,V19&gt;73050,W19&lt;36526,W19&gt;73050,V19&gt;Pregled!$B$7,W19&lt;V19),"Proveriti datume","Evidentirano")))))</f>
        <v/>
      </c>
      <c r="AH19" s="47" t="str">
        <f>IF(AND(Z19="Da",AA19&lt;&gt;"",AB19&lt;&gt;"",AC19&lt;&gt;"",ISNUMBER(AD19),AD19&gt;=36526,AD19&lt;=73050,AD19&lt;=Pregled!$B$7,AF19="Popunjeno",AG19="Evidentirano",OR(H19="Pilot",H19="Uslovno odobreno",H19="Odobreno")),COUNT($AH$7:AH18)+1,"")</f>
        <v/>
      </c>
    </row>
    <row r="20" ht="54.0" customHeight="1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9"/>
      <c r="W20" s="39"/>
      <c r="X20" s="37"/>
      <c r="Y20" s="37"/>
      <c r="Z20" s="37"/>
      <c r="AA20" s="37"/>
      <c r="AB20" s="37"/>
      <c r="AC20" s="37"/>
      <c r="AD20" s="39"/>
      <c r="AE20" s="46" t="str">
        <f>IF(COUNTA(A20:AD20)=0,"",IF(OR(H20="Povučeno",H20="Odbijeno",H20="Obustavljeno"),"Nije aktivno",IF(W20="","Nije određen",IF(OR(NOT(ISNUMBER(W20)),W20&lt;36526,W20&gt;73050),"Proveriti datum",IF(W20&lt;Pregled!$B$7,"Kasni",IF(W20&lt;=Pregled!$B$7+Pregled!$F$7,"Uskoro","U roku"))))))</f>
        <v/>
      </c>
      <c r="AF20" s="46" t="str">
        <f>IF(COUNTA(A20:AD20)=0,"",IF(A20="","Nedostaje ID",IF(COUNTIFS($A$8:$A$207,A20)&gt;1,"Duplikat ID",IF(OR(B20="",E20="",G20="",COUNTIF(Liste!$B$7:$B$13,H20)=0),"Dopuniti osnovno","Popunjeno"))))</f>
        <v/>
      </c>
      <c r="AG20" s="46" t="str">
        <f>IF(COUNTA(A20:AD20)=0,"",IF(NOT(OR(H20="Pilot",H20="Uslovno odobreno",H20="Odobreno")),"Nije aktivna odluka",IF(OR(K20="",N20="",O20="",P20="",Q20="",R20="",S20="",T20="",U20="",V20="",W20="",X20=""),"Dopuniti evidenciju",IF(OR(NOT(ISNUMBER(V20)),NOT(ISNUMBER(W20))),"Proveriti datume",IF(OR(V20&lt;36526,V20&gt;73050,W20&lt;36526,W20&gt;73050,V20&gt;Pregled!$B$7,W20&lt;V20),"Proveriti datume","Evidentirano")))))</f>
        <v/>
      </c>
      <c r="AH20" s="47" t="str">
        <f>IF(AND(Z20="Da",AA20&lt;&gt;"",AB20&lt;&gt;"",AC20&lt;&gt;"",ISNUMBER(AD20),AD20&gt;=36526,AD20&lt;=73050,AD20&lt;=Pregled!$B$7,AF20="Popunjeno",AG20="Evidentirano",OR(H20="Pilot",H20="Uslovno odobreno",H20="Odobreno")),COUNT($AH$7:AH19)+1,"")</f>
        <v/>
      </c>
    </row>
    <row r="21" ht="54.0" customHeight="1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9"/>
      <c r="W21" s="39"/>
      <c r="X21" s="37"/>
      <c r="Y21" s="37"/>
      <c r="Z21" s="37"/>
      <c r="AA21" s="37"/>
      <c r="AB21" s="37"/>
      <c r="AC21" s="37"/>
      <c r="AD21" s="39"/>
      <c r="AE21" s="46" t="str">
        <f>IF(COUNTA(A21:AD21)=0,"",IF(OR(H21="Povučeno",H21="Odbijeno",H21="Obustavljeno"),"Nije aktivno",IF(W21="","Nije određen",IF(OR(NOT(ISNUMBER(W21)),W21&lt;36526,W21&gt;73050),"Proveriti datum",IF(W21&lt;Pregled!$B$7,"Kasni",IF(W21&lt;=Pregled!$B$7+Pregled!$F$7,"Uskoro","U roku"))))))</f>
        <v/>
      </c>
      <c r="AF21" s="46" t="str">
        <f>IF(COUNTA(A21:AD21)=0,"",IF(A21="","Nedostaje ID",IF(COUNTIFS($A$8:$A$207,A21)&gt;1,"Duplikat ID",IF(OR(B21="",E21="",G21="",COUNTIF(Liste!$B$7:$B$13,H21)=0),"Dopuniti osnovno","Popunjeno"))))</f>
        <v/>
      </c>
      <c r="AG21" s="46" t="str">
        <f>IF(COUNTA(A21:AD21)=0,"",IF(NOT(OR(H21="Pilot",H21="Uslovno odobreno",H21="Odobreno")),"Nije aktivna odluka",IF(OR(K21="",N21="",O21="",P21="",Q21="",R21="",S21="",T21="",U21="",V21="",W21="",X21=""),"Dopuniti evidenciju",IF(OR(NOT(ISNUMBER(V21)),NOT(ISNUMBER(W21))),"Proveriti datume",IF(OR(V21&lt;36526,V21&gt;73050,W21&lt;36526,W21&gt;73050,V21&gt;Pregled!$B$7,W21&lt;V21),"Proveriti datume","Evidentirano")))))</f>
        <v/>
      </c>
      <c r="AH21" s="47" t="str">
        <f>IF(AND(Z21="Da",AA21&lt;&gt;"",AB21&lt;&gt;"",AC21&lt;&gt;"",ISNUMBER(AD21),AD21&gt;=36526,AD21&lt;=73050,AD21&lt;=Pregled!$B$7,AF21="Popunjeno",AG21="Evidentirano",OR(H21="Pilot",H21="Uslovno odobreno",H21="Odobreno")),COUNT($AH$7:AH20)+1,"")</f>
        <v/>
      </c>
    </row>
    <row r="22" ht="54.0" customHeight="1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9"/>
      <c r="W22" s="39"/>
      <c r="X22" s="37"/>
      <c r="Y22" s="37"/>
      <c r="Z22" s="37"/>
      <c r="AA22" s="37"/>
      <c r="AB22" s="37"/>
      <c r="AC22" s="37"/>
      <c r="AD22" s="39"/>
      <c r="AE22" s="46" t="str">
        <f>IF(COUNTA(A22:AD22)=0,"",IF(OR(H22="Povučeno",H22="Odbijeno",H22="Obustavljeno"),"Nije aktivno",IF(W22="","Nije određen",IF(OR(NOT(ISNUMBER(W22)),W22&lt;36526,W22&gt;73050),"Proveriti datum",IF(W22&lt;Pregled!$B$7,"Kasni",IF(W22&lt;=Pregled!$B$7+Pregled!$F$7,"Uskoro","U roku"))))))</f>
        <v/>
      </c>
      <c r="AF22" s="46" t="str">
        <f>IF(COUNTA(A22:AD22)=0,"",IF(A22="","Nedostaje ID",IF(COUNTIFS($A$8:$A$207,A22)&gt;1,"Duplikat ID",IF(OR(B22="",E22="",G22="",COUNTIF(Liste!$B$7:$B$13,H22)=0),"Dopuniti osnovno","Popunjeno"))))</f>
        <v/>
      </c>
      <c r="AG22" s="46" t="str">
        <f>IF(COUNTA(A22:AD22)=0,"",IF(NOT(OR(H22="Pilot",H22="Uslovno odobreno",H22="Odobreno")),"Nije aktivna odluka",IF(OR(K22="",N22="",O22="",P22="",Q22="",R22="",S22="",T22="",U22="",V22="",W22="",X22=""),"Dopuniti evidenciju",IF(OR(NOT(ISNUMBER(V22)),NOT(ISNUMBER(W22))),"Proveriti datume",IF(OR(V22&lt;36526,V22&gt;73050,W22&lt;36526,W22&gt;73050,V22&gt;Pregled!$B$7,W22&lt;V22),"Proveriti datume","Evidentirano")))))</f>
        <v/>
      </c>
      <c r="AH22" s="47" t="str">
        <f>IF(AND(Z22="Da",AA22&lt;&gt;"",AB22&lt;&gt;"",AC22&lt;&gt;"",ISNUMBER(AD22),AD22&gt;=36526,AD22&lt;=73050,AD22&lt;=Pregled!$B$7,AF22="Popunjeno",AG22="Evidentirano",OR(H22="Pilot",H22="Uslovno odobreno",H22="Odobreno")),COUNT($AH$7:AH21)+1,"")</f>
        <v/>
      </c>
    </row>
    <row r="23" ht="54.0" customHeight="1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9"/>
      <c r="W23" s="39"/>
      <c r="X23" s="37"/>
      <c r="Y23" s="37"/>
      <c r="Z23" s="37"/>
      <c r="AA23" s="37"/>
      <c r="AB23" s="37"/>
      <c r="AC23" s="37"/>
      <c r="AD23" s="39"/>
      <c r="AE23" s="46" t="str">
        <f>IF(COUNTA(A23:AD23)=0,"",IF(OR(H23="Povučeno",H23="Odbijeno",H23="Obustavljeno"),"Nije aktivno",IF(W23="","Nije određen",IF(OR(NOT(ISNUMBER(W23)),W23&lt;36526,W23&gt;73050),"Proveriti datum",IF(W23&lt;Pregled!$B$7,"Kasni",IF(W23&lt;=Pregled!$B$7+Pregled!$F$7,"Uskoro","U roku"))))))</f>
        <v/>
      </c>
      <c r="AF23" s="46" t="str">
        <f>IF(COUNTA(A23:AD23)=0,"",IF(A23="","Nedostaje ID",IF(COUNTIFS($A$8:$A$207,A23)&gt;1,"Duplikat ID",IF(OR(B23="",E23="",G23="",COUNTIF(Liste!$B$7:$B$13,H23)=0),"Dopuniti osnovno","Popunjeno"))))</f>
        <v/>
      </c>
      <c r="AG23" s="46" t="str">
        <f>IF(COUNTA(A23:AD23)=0,"",IF(NOT(OR(H23="Pilot",H23="Uslovno odobreno",H23="Odobreno")),"Nije aktivna odluka",IF(OR(K23="",N23="",O23="",P23="",Q23="",R23="",S23="",T23="",U23="",V23="",W23="",X23=""),"Dopuniti evidenciju",IF(OR(NOT(ISNUMBER(V23)),NOT(ISNUMBER(W23))),"Proveriti datume",IF(OR(V23&lt;36526,V23&gt;73050,W23&lt;36526,W23&gt;73050,V23&gt;Pregled!$B$7,W23&lt;V23),"Proveriti datume","Evidentirano")))))</f>
        <v/>
      </c>
      <c r="AH23" s="47" t="str">
        <f>IF(AND(Z23="Da",AA23&lt;&gt;"",AB23&lt;&gt;"",AC23&lt;&gt;"",ISNUMBER(AD23),AD23&gt;=36526,AD23&lt;=73050,AD23&lt;=Pregled!$B$7,AF23="Popunjeno",AG23="Evidentirano",OR(H23="Pilot",H23="Uslovno odobreno",H23="Odobreno")),COUNT($AH$7:AH22)+1,"")</f>
        <v/>
      </c>
    </row>
    <row r="24" ht="54.0" customHeight="1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9"/>
      <c r="W24" s="39"/>
      <c r="X24" s="37"/>
      <c r="Y24" s="37"/>
      <c r="Z24" s="37"/>
      <c r="AA24" s="37"/>
      <c r="AB24" s="37"/>
      <c r="AC24" s="37"/>
      <c r="AD24" s="39"/>
      <c r="AE24" s="46" t="str">
        <f>IF(COUNTA(A24:AD24)=0,"",IF(OR(H24="Povučeno",H24="Odbijeno",H24="Obustavljeno"),"Nije aktivno",IF(W24="","Nije određen",IF(OR(NOT(ISNUMBER(W24)),W24&lt;36526,W24&gt;73050),"Proveriti datum",IF(W24&lt;Pregled!$B$7,"Kasni",IF(W24&lt;=Pregled!$B$7+Pregled!$F$7,"Uskoro","U roku"))))))</f>
        <v/>
      </c>
      <c r="AF24" s="46" t="str">
        <f>IF(COUNTA(A24:AD24)=0,"",IF(A24="","Nedostaje ID",IF(COUNTIFS($A$8:$A$207,A24)&gt;1,"Duplikat ID",IF(OR(B24="",E24="",G24="",COUNTIF(Liste!$B$7:$B$13,H24)=0),"Dopuniti osnovno","Popunjeno"))))</f>
        <v/>
      </c>
      <c r="AG24" s="46" t="str">
        <f>IF(COUNTA(A24:AD24)=0,"",IF(NOT(OR(H24="Pilot",H24="Uslovno odobreno",H24="Odobreno")),"Nije aktivna odluka",IF(OR(K24="",N24="",O24="",P24="",Q24="",R24="",S24="",T24="",U24="",V24="",W24="",X24=""),"Dopuniti evidenciju",IF(OR(NOT(ISNUMBER(V24)),NOT(ISNUMBER(W24))),"Proveriti datume",IF(OR(V24&lt;36526,V24&gt;73050,W24&lt;36526,W24&gt;73050,V24&gt;Pregled!$B$7,W24&lt;V24),"Proveriti datume","Evidentirano")))))</f>
        <v/>
      </c>
      <c r="AH24" s="47" t="str">
        <f>IF(AND(Z24="Da",AA24&lt;&gt;"",AB24&lt;&gt;"",AC24&lt;&gt;"",ISNUMBER(AD24),AD24&gt;=36526,AD24&lt;=73050,AD24&lt;=Pregled!$B$7,AF24="Popunjeno",AG24="Evidentirano",OR(H24="Pilot",H24="Uslovno odobreno",H24="Odobreno")),COUNT($AH$7:AH23)+1,"")</f>
        <v/>
      </c>
    </row>
    <row r="25" ht="54.0" customHeight="1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9"/>
      <c r="W25" s="39"/>
      <c r="X25" s="37"/>
      <c r="Y25" s="37"/>
      <c r="Z25" s="37"/>
      <c r="AA25" s="37"/>
      <c r="AB25" s="37"/>
      <c r="AC25" s="37"/>
      <c r="AD25" s="39"/>
      <c r="AE25" s="46" t="str">
        <f>IF(COUNTA(A25:AD25)=0,"",IF(OR(H25="Povučeno",H25="Odbijeno",H25="Obustavljeno"),"Nije aktivno",IF(W25="","Nije određen",IF(OR(NOT(ISNUMBER(W25)),W25&lt;36526,W25&gt;73050),"Proveriti datum",IF(W25&lt;Pregled!$B$7,"Kasni",IF(W25&lt;=Pregled!$B$7+Pregled!$F$7,"Uskoro","U roku"))))))</f>
        <v/>
      </c>
      <c r="AF25" s="46" t="str">
        <f>IF(COUNTA(A25:AD25)=0,"",IF(A25="","Nedostaje ID",IF(COUNTIFS($A$8:$A$207,A25)&gt;1,"Duplikat ID",IF(OR(B25="",E25="",G25="",COUNTIF(Liste!$B$7:$B$13,H25)=0),"Dopuniti osnovno","Popunjeno"))))</f>
        <v/>
      </c>
      <c r="AG25" s="46" t="str">
        <f>IF(COUNTA(A25:AD25)=0,"",IF(NOT(OR(H25="Pilot",H25="Uslovno odobreno",H25="Odobreno")),"Nije aktivna odluka",IF(OR(K25="",N25="",O25="",P25="",Q25="",R25="",S25="",T25="",U25="",V25="",W25="",X25=""),"Dopuniti evidenciju",IF(OR(NOT(ISNUMBER(V25)),NOT(ISNUMBER(W25))),"Proveriti datume",IF(OR(V25&lt;36526,V25&gt;73050,W25&lt;36526,W25&gt;73050,V25&gt;Pregled!$B$7,W25&lt;V25),"Proveriti datume","Evidentirano")))))</f>
        <v/>
      </c>
      <c r="AH25" s="47" t="str">
        <f>IF(AND(Z25="Da",AA25&lt;&gt;"",AB25&lt;&gt;"",AC25&lt;&gt;"",ISNUMBER(AD25),AD25&gt;=36526,AD25&lt;=73050,AD25&lt;=Pregled!$B$7,AF25="Popunjeno",AG25="Evidentirano",OR(H25="Pilot",H25="Uslovno odobreno",H25="Odobreno")),COUNT($AH$7:AH24)+1,"")</f>
        <v/>
      </c>
    </row>
    <row r="26" ht="54.0" customHeight="1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9"/>
      <c r="W26" s="39"/>
      <c r="X26" s="37"/>
      <c r="Y26" s="37"/>
      <c r="Z26" s="37"/>
      <c r="AA26" s="37"/>
      <c r="AB26" s="37"/>
      <c r="AC26" s="37"/>
      <c r="AD26" s="39"/>
      <c r="AE26" s="46" t="str">
        <f>IF(COUNTA(A26:AD26)=0,"",IF(OR(H26="Povučeno",H26="Odbijeno",H26="Obustavljeno"),"Nije aktivno",IF(W26="","Nije određen",IF(OR(NOT(ISNUMBER(W26)),W26&lt;36526,W26&gt;73050),"Proveriti datum",IF(W26&lt;Pregled!$B$7,"Kasni",IF(W26&lt;=Pregled!$B$7+Pregled!$F$7,"Uskoro","U roku"))))))</f>
        <v/>
      </c>
      <c r="AF26" s="46" t="str">
        <f>IF(COUNTA(A26:AD26)=0,"",IF(A26="","Nedostaje ID",IF(COUNTIFS($A$8:$A$207,A26)&gt;1,"Duplikat ID",IF(OR(B26="",E26="",G26="",COUNTIF(Liste!$B$7:$B$13,H26)=0),"Dopuniti osnovno","Popunjeno"))))</f>
        <v/>
      </c>
      <c r="AG26" s="46" t="str">
        <f>IF(COUNTA(A26:AD26)=0,"",IF(NOT(OR(H26="Pilot",H26="Uslovno odobreno",H26="Odobreno")),"Nije aktivna odluka",IF(OR(K26="",N26="",O26="",P26="",Q26="",R26="",S26="",T26="",U26="",V26="",W26="",X26=""),"Dopuniti evidenciju",IF(OR(NOT(ISNUMBER(V26)),NOT(ISNUMBER(W26))),"Proveriti datume",IF(OR(V26&lt;36526,V26&gt;73050,W26&lt;36526,W26&gt;73050,V26&gt;Pregled!$B$7,W26&lt;V26),"Proveriti datume","Evidentirano")))))</f>
        <v/>
      </c>
      <c r="AH26" s="47" t="str">
        <f>IF(AND(Z26="Da",AA26&lt;&gt;"",AB26&lt;&gt;"",AC26&lt;&gt;"",ISNUMBER(AD26),AD26&gt;=36526,AD26&lt;=73050,AD26&lt;=Pregled!$B$7,AF26="Popunjeno",AG26="Evidentirano",OR(H26="Pilot",H26="Uslovno odobreno",H26="Odobreno")),COUNT($AH$7:AH25)+1,"")</f>
        <v/>
      </c>
    </row>
    <row r="27" ht="54.0" customHeight="1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9"/>
      <c r="W27" s="39"/>
      <c r="X27" s="37"/>
      <c r="Y27" s="37"/>
      <c r="Z27" s="37"/>
      <c r="AA27" s="37"/>
      <c r="AB27" s="37"/>
      <c r="AC27" s="37"/>
      <c r="AD27" s="39"/>
      <c r="AE27" s="46" t="str">
        <f>IF(COUNTA(A27:AD27)=0,"",IF(OR(H27="Povučeno",H27="Odbijeno",H27="Obustavljeno"),"Nije aktivno",IF(W27="","Nije određen",IF(OR(NOT(ISNUMBER(W27)),W27&lt;36526,W27&gt;73050),"Proveriti datum",IF(W27&lt;Pregled!$B$7,"Kasni",IF(W27&lt;=Pregled!$B$7+Pregled!$F$7,"Uskoro","U roku"))))))</f>
        <v/>
      </c>
      <c r="AF27" s="46" t="str">
        <f>IF(COUNTA(A27:AD27)=0,"",IF(A27="","Nedostaje ID",IF(COUNTIFS($A$8:$A$207,A27)&gt;1,"Duplikat ID",IF(OR(B27="",E27="",G27="",COUNTIF(Liste!$B$7:$B$13,H27)=0),"Dopuniti osnovno","Popunjeno"))))</f>
        <v/>
      </c>
      <c r="AG27" s="46" t="str">
        <f>IF(COUNTA(A27:AD27)=0,"",IF(NOT(OR(H27="Pilot",H27="Uslovno odobreno",H27="Odobreno")),"Nije aktivna odluka",IF(OR(K27="",N27="",O27="",P27="",Q27="",R27="",S27="",T27="",U27="",V27="",W27="",X27=""),"Dopuniti evidenciju",IF(OR(NOT(ISNUMBER(V27)),NOT(ISNUMBER(W27))),"Proveriti datume",IF(OR(V27&lt;36526,V27&gt;73050,W27&lt;36526,W27&gt;73050,V27&gt;Pregled!$B$7,W27&lt;V27),"Proveriti datume","Evidentirano")))))</f>
        <v/>
      </c>
      <c r="AH27" s="47" t="str">
        <f>IF(AND(Z27="Da",AA27&lt;&gt;"",AB27&lt;&gt;"",AC27&lt;&gt;"",ISNUMBER(AD27),AD27&gt;=36526,AD27&lt;=73050,AD27&lt;=Pregled!$B$7,AF27="Popunjeno",AG27="Evidentirano",OR(H27="Pilot",H27="Uslovno odobreno",H27="Odobreno")),COUNT($AH$7:AH26)+1,"")</f>
        <v/>
      </c>
    </row>
    <row r="28" ht="54.0" customHeight="1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9"/>
      <c r="W28" s="39"/>
      <c r="X28" s="37"/>
      <c r="Y28" s="37"/>
      <c r="Z28" s="37"/>
      <c r="AA28" s="37"/>
      <c r="AB28" s="37"/>
      <c r="AC28" s="37"/>
      <c r="AD28" s="39"/>
      <c r="AE28" s="46" t="str">
        <f>IF(COUNTA(A28:AD28)=0,"",IF(OR(H28="Povučeno",H28="Odbijeno",H28="Obustavljeno"),"Nije aktivno",IF(W28="","Nije određen",IF(OR(NOT(ISNUMBER(W28)),W28&lt;36526,W28&gt;73050),"Proveriti datum",IF(W28&lt;Pregled!$B$7,"Kasni",IF(W28&lt;=Pregled!$B$7+Pregled!$F$7,"Uskoro","U roku"))))))</f>
        <v/>
      </c>
      <c r="AF28" s="46" t="str">
        <f>IF(COUNTA(A28:AD28)=0,"",IF(A28="","Nedostaje ID",IF(COUNTIFS($A$8:$A$207,A28)&gt;1,"Duplikat ID",IF(OR(B28="",E28="",G28="",COUNTIF(Liste!$B$7:$B$13,H28)=0),"Dopuniti osnovno","Popunjeno"))))</f>
        <v/>
      </c>
      <c r="AG28" s="46" t="str">
        <f>IF(COUNTA(A28:AD28)=0,"",IF(NOT(OR(H28="Pilot",H28="Uslovno odobreno",H28="Odobreno")),"Nije aktivna odluka",IF(OR(K28="",N28="",O28="",P28="",Q28="",R28="",S28="",T28="",U28="",V28="",W28="",X28=""),"Dopuniti evidenciju",IF(OR(NOT(ISNUMBER(V28)),NOT(ISNUMBER(W28))),"Proveriti datume",IF(OR(V28&lt;36526,V28&gt;73050,W28&lt;36526,W28&gt;73050,V28&gt;Pregled!$B$7,W28&lt;V28),"Proveriti datume","Evidentirano")))))</f>
        <v/>
      </c>
      <c r="AH28" s="47" t="str">
        <f>IF(AND(Z28="Da",AA28&lt;&gt;"",AB28&lt;&gt;"",AC28&lt;&gt;"",ISNUMBER(AD28),AD28&gt;=36526,AD28&lt;=73050,AD28&lt;=Pregled!$B$7,AF28="Popunjeno",AG28="Evidentirano",OR(H28="Pilot",H28="Uslovno odobreno",H28="Odobreno")),COUNT($AH$7:AH27)+1,"")</f>
        <v/>
      </c>
    </row>
    <row r="29" ht="54.0" customHeight="1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9"/>
      <c r="W29" s="39"/>
      <c r="X29" s="37"/>
      <c r="Y29" s="37"/>
      <c r="Z29" s="37"/>
      <c r="AA29" s="37"/>
      <c r="AB29" s="37"/>
      <c r="AC29" s="37"/>
      <c r="AD29" s="39"/>
      <c r="AE29" s="46" t="str">
        <f>IF(COUNTA(A29:AD29)=0,"",IF(OR(H29="Povučeno",H29="Odbijeno",H29="Obustavljeno"),"Nije aktivno",IF(W29="","Nije određen",IF(OR(NOT(ISNUMBER(W29)),W29&lt;36526,W29&gt;73050),"Proveriti datum",IF(W29&lt;Pregled!$B$7,"Kasni",IF(W29&lt;=Pregled!$B$7+Pregled!$F$7,"Uskoro","U roku"))))))</f>
        <v/>
      </c>
      <c r="AF29" s="46" t="str">
        <f>IF(COUNTA(A29:AD29)=0,"",IF(A29="","Nedostaje ID",IF(COUNTIFS($A$8:$A$207,A29)&gt;1,"Duplikat ID",IF(OR(B29="",E29="",G29="",COUNTIF(Liste!$B$7:$B$13,H29)=0),"Dopuniti osnovno","Popunjeno"))))</f>
        <v/>
      </c>
      <c r="AG29" s="46" t="str">
        <f>IF(COUNTA(A29:AD29)=0,"",IF(NOT(OR(H29="Pilot",H29="Uslovno odobreno",H29="Odobreno")),"Nije aktivna odluka",IF(OR(K29="",N29="",O29="",P29="",Q29="",R29="",S29="",T29="",U29="",V29="",W29="",X29=""),"Dopuniti evidenciju",IF(OR(NOT(ISNUMBER(V29)),NOT(ISNUMBER(W29))),"Proveriti datume",IF(OR(V29&lt;36526,V29&gt;73050,W29&lt;36526,W29&gt;73050,V29&gt;Pregled!$B$7,W29&lt;V29),"Proveriti datume","Evidentirano")))))</f>
        <v/>
      </c>
      <c r="AH29" s="47" t="str">
        <f>IF(AND(Z29="Da",AA29&lt;&gt;"",AB29&lt;&gt;"",AC29&lt;&gt;"",ISNUMBER(AD29),AD29&gt;=36526,AD29&lt;=73050,AD29&lt;=Pregled!$B$7,AF29="Popunjeno",AG29="Evidentirano",OR(H29="Pilot",H29="Uslovno odobreno",H29="Odobreno")),COUNT($AH$7:AH28)+1,"")</f>
        <v/>
      </c>
    </row>
    <row r="30" ht="54.0" customHeigh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9"/>
      <c r="W30" s="39"/>
      <c r="X30" s="37"/>
      <c r="Y30" s="37"/>
      <c r="Z30" s="37"/>
      <c r="AA30" s="37"/>
      <c r="AB30" s="37"/>
      <c r="AC30" s="37"/>
      <c r="AD30" s="39"/>
      <c r="AE30" s="46" t="str">
        <f>IF(COUNTA(A30:AD30)=0,"",IF(OR(H30="Povučeno",H30="Odbijeno",H30="Obustavljeno"),"Nije aktivno",IF(W30="","Nije određen",IF(OR(NOT(ISNUMBER(W30)),W30&lt;36526,W30&gt;73050),"Proveriti datum",IF(W30&lt;Pregled!$B$7,"Kasni",IF(W30&lt;=Pregled!$B$7+Pregled!$F$7,"Uskoro","U roku"))))))</f>
        <v/>
      </c>
      <c r="AF30" s="46" t="str">
        <f>IF(COUNTA(A30:AD30)=0,"",IF(A30="","Nedostaje ID",IF(COUNTIFS($A$8:$A$207,A30)&gt;1,"Duplikat ID",IF(OR(B30="",E30="",G30="",COUNTIF(Liste!$B$7:$B$13,H30)=0),"Dopuniti osnovno","Popunjeno"))))</f>
        <v/>
      </c>
      <c r="AG30" s="46" t="str">
        <f>IF(COUNTA(A30:AD30)=0,"",IF(NOT(OR(H30="Pilot",H30="Uslovno odobreno",H30="Odobreno")),"Nije aktivna odluka",IF(OR(K30="",N30="",O30="",P30="",Q30="",R30="",S30="",T30="",U30="",V30="",W30="",X30=""),"Dopuniti evidenciju",IF(OR(NOT(ISNUMBER(V30)),NOT(ISNUMBER(W30))),"Proveriti datume",IF(OR(V30&lt;36526,V30&gt;73050,W30&lt;36526,W30&gt;73050,V30&gt;Pregled!$B$7,W30&lt;V30),"Proveriti datume","Evidentirano")))))</f>
        <v/>
      </c>
      <c r="AH30" s="47" t="str">
        <f>IF(AND(Z30="Da",AA30&lt;&gt;"",AB30&lt;&gt;"",AC30&lt;&gt;"",ISNUMBER(AD30),AD30&gt;=36526,AD30&lt;=73050,AD30&lt;=Pregled!$B$7,AF30="Popunjeno",AG30="Evidentirano",OR(H30="Pilot",H30="Uslovno odobreno",H30="Odobreno")),COUNT($AH$7:AH29)+1,"")</f>
        <v/>
      </c>
    </row>
    <row r="31" ht="54.0" customHeight="1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9"/>
      <c r="W31" s="39"/>
      <c r="X31" s="37"/>
      <c r="Y31" s="37"/>
      <c r="Z31" s="37"/>
      <c r="AA31" s="37"/>
      <c r="AB31" s="37"/>
      <c r="AC31" s="37"/>
      <c r="AD31" s="39"/>
      <c r="AE31" s="46" t="str">
        <f>IF(COUNTA(A31:AD31)=0,"",IF(OR(H31="Povučeno",H31="Odbijeno",H31="Obustavljeno"),"Nije aktivno",IF(W31="","Nije određen",IF(OR(NOT(ISNUMBER(W31)),W31&lt;36526,W31&gt;73050),"Proveriti datum",IF(W31&lt;Pregled!$B$7,"Kasni",IF(W31&lt;=Pregled!$B$7+Pregled!$F$7,"Uskoro","U roku"))))))</f>
        <v/>
      </c>
      <c r="AF31" s="46" t="str">
        <f>IF(COUNTA(A31:AD31)=0,"",IF(A31="","Nedostaje ID",IF(COUNTIFS($A$8:$A$207,A31)&gt;1,"Duplikat ID",IF(OR(B31="",E31="",G31="",COUNTIF(Liste!$B$7:$B$13,H31)=0),"Dopuniti osnovno","Popunjeno"))))</f>
        <v/>
      </c>
      <c r="AG31" s="46" t="str">
        <f>IF(COUNTA(A31:AD31)=0,"",IF(NOT(OR(H31="Pilot",H31="Uslovno odobreno",H31="Odobreno")),"Nije aktivna odluka",IF(OR(K31="",N31="",O31="",P31="",Q31="",R31="",S31="",T31="",U31="",V31="",W31="",X31=""),"Dopuniti evidenciju",IF(OR(NOT(ISNUMBER(V31)),NOT(ISNUMBER(W31))),"Proveriti datume",IF(OR(V31&lt;36526,V31&gt;73050,W31&lt;36526,W31&gt;73050,V31&gt;Pregled!$B$7,W31&lt;V31),"Proveriti datume","Evidentirano")))))</f>
        <v/>
      </c>
      <c r="AH31" s="47" t="str">
        <f>IF(AND(Z31="Da",AA31&lt;&gt;"",AB31&lt;&gt;"",AC31&lt;&gt;"",ISNUMBER(AD31),AD31&gt;=36526,AD31&lt;=73050,AD31&lt;=Pregled!$B$7,AF31="Popunjeno",AG31="Evidentirano",OR(H31="Pilot",H31="Uslovno odobreno",H31="Odobreno")),COUNT($AH$7:AH30)+1,"")</f>
        <v/>
      </c>
    </row>
    <row r="32" ht="54.0" customHeight="1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9"/>
      <c r="W32" s="39"/>
      <c r="X32" s="37"/>
      <c r="Y32" s="37"/>
      <c r="Z32" s="37"/>
      <c r="AA32" s="37"/>
      <c r="AB32" s="37"/>
      <c r="AC32" s="37"/>
      <c r="AD32" s="39"/>
      <c r="AE32" s="46" t="str">
        <f>IF(COUNTA(A32:AD32)=0,"",IF(OR(H32="Povučeno",H32="Odbijeno",H32="Obustavljeno"),"Nije aktivno",IF(W32="","Nije određen",IF(OR(NOT(ISNUMBER(W32)),W32&lt;36526,W32&gt;73050),"Proveriti datum",IF(W32&lt;Pregled!$B$7,"Kasni",IF(W32&lt;=Pregled!$B$7+Pregled!$F$7,"Uskoro","U roku"))))))</f>
        <v/>
      </c>
      <c r="AF32" s="46" t="str">
        <f>IF(COUNTA(A32:AD32)=0,"",IF(A32="","Nedostaje ID",IF(COUNTIFS($A$8:$A$207,A32)&gt;1,"Duplikat ID",IF(OR(B32="",E32="",G32="",COUNTIF(Liste!$B$7:$B$13,H32)=0),"Dopuniti osnovno","Popunjeno"))))</f>
        <v/>
      </c>
      <c r="AG32" s="46" t="str">
        <f>IF(COUNTA(A32:AD32)=0,"",IF(NOT(OR(H32="Pilot",H32="Uslovno odobreno",H32="Odobreno")),"Nije aktivna odluka",IF(OR(K32="",N32="",O32="",P32="",Q32="",R32="",S32="",T32="",U32="",V32="",W32="",X32=""),"Dopuniti evidenciju",IF(OR(NOT(ISNUMBER(V32)),NOT(ISNUMBER(W32))),"Proveriti datume",IF(OR(V32&lt;36526,V32&gt;73050,W32&lt;36526,W32&gt;73050,V32&gt;Pregled!$B$7,W32&lt;V32),"Proveriti datume","Evidentirano")))))</f>
        <v/>
      </c>
      <c r="AH32" s="47" t="str">
        <f>IF(AND(Z32="Da",AA32&lt;&gt;"",AB32&lt;&gt;"",AC32&lt;&gt;"",ISNUMBER(AD32),AD32&gt;=36526,AD32&lt;=73050,AD32&lt;=Pregled!$B$7,AF32="Popunjeno",AG32="Evidentirano",OR(H32="Pilot",H32="Uslovno odobreno",H32="Odobreno")),COUNT($AH$7:AH31)+1,"")</f>
        <v/>
      </c>
    </row>
    <row r="33" ht="54.0" customHeight="1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9"/>
      <c r="W33" s="39"/>
      <c r="X33" s="37"/>
      <c r="Y33" s="37"/>
      <c r="Z33" s="37"/>
      <c r="AA33" s="37"/>
      <c r="AB33" s="37"/>
      <c r="AC33" s="37"/>
      <c r="AD33" s="39"/>
      <c r="AE33" s="46" t="str">
        <f>IF(COUNTA(A33:AD33)=0,"",IF(OR(H33="Povučeno",H33="Odbijeno",H33="Obustavljeno"),"Nije aktivno",IF(W33="","Nije određen",IF(OR(NOT(ISNUMBER(W33)),W33&lt;36526,W33&gt;73050),"Proveriti datum",IF(W33&lt;Pregled!$B$7,"Kasni",IF(W33&lt;=Pregled!$B$7+Pregled!$F$7,"Uskoro","U roku"))))))</f>
        <v/>
      </c>
      <c r="AF33" s="46" t="str">
        <f>IF(COUNTA(A33:AD33)=0,"",IF(A33="","Nedostaje ID",IF(COUNTIFS($A$8:$A$207,A33)&gt;1,"Duplikat ID",IF(OR(B33="",E33="",G33="",COUNTIF(Liste!$B$7:$B$13,H33)=0),"Dopuniti osnovno","Popunjeno"))))</f>
        <v/>
      </c>
      <c r="AG33" s="46" t="str">
        <f>IF(COUNTA(A33:AD33)=0,"",IF(NOT(OR(H33="Pilot",H33="Uslovno odobreno",H33="Odobreno")),"Nije aktivna odluka",IF(OR(K33="",N33="",O33="",P33="",Q33="",R33="",S33="",T33="",U33="",V33="",W33="",X33=""),"Dopuniti evidenciju",IF(OR(NOT(ISNUMBER(V33)),NOT(ISNUMBER(W33))),"Proveriti datume",IF(OR(V33&lt;36526,V33&gt;73050,W33&lt;36526,W33&gt;73050,V33&gt;Pregled!$B$7,W33&lt;V33),"Proveriti datume","Evidentirano")))))</f>
        <v/>
      </c>
      <c r="AH33" s="47" t="str">
        <f>IF(AND(Z33="Da",AA33&lt;&gt;"",AB33&lt;&gt;"",AC33&lt;&gt;"",ISNUMBER(AD33),AD33&gt;=36526,AD33&lt;=73050,AD33&lt;=Pregled!$B$7,AF33="Popunjeno",AG33="Evidentirano",OR(H33="Pilot",H33="Uslovno odobreno",H33="Odobreno")),COUNT($AH$7:AH32)+1,"")</f>
        <v/>
      </c>
    </row>
    <row r="34" ht="54.0" customHeight="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9"/>
      <c r="W34" s="39"/>
      <c r="X34" s="37"/>
      <c r="Y34" s="37"/>
      <c r="Z34" s="37"/>
      <c r="AA34" s="37"/>
      <c r="AB34" s="37"/>
      <c r="AC34" s="37"/>
      <c r="AD34" s="39"/>
      <c r="AE34" s="46" t="str">
        <f>IF(COUNTA(A34:AD34)=0,"",IF(OR(H34="Povučeno",H34="Odbijeno",H34="Obustavljeno"),"Nije aktivno",IF(W34="","Nije određen",IF(OR(NOT(ISNUMBER(W34)),W34&lt;36526,W34&gt;73050),"Proveriti datum",IF(W34&lt;Pregled!$B$7,"Kasni",IF(W34&lt;=Pregled!$B$7+Pregled!$F$7,"Uskoro","U roku"))))))</f>
        <v/>
      </c>
      <c r="AF34" s="46" t="str">
        <f>IF(COUNTA(A34:AD34)=0,"",IF(A34="","Nedostaje ID",IF(COUNTIFS($A$8:$A$207,A34)&gt;1,"Duplikat ID",IF(OR(B34="",E34="",G34="",COUNTIF(Liste!$B$7:$B$13,H34)=0),"Dopuniti osnovno","Popunjeno"))))</f>
        <v/>
      </c>
      <c r="AG34" s="46" t="str">
        <f>IF(COUNTA(A34:AD34)=0,"",IF(NOT(OR(H34="Pilot",H34="Uslovno odobreno",H34="Odobreno")),"Nije aktivna odluka",IF(OR(K34="",N34="",O34="",P34="",Q34="",R34="",S34="",T34="",U34="",V34="",W34="",X34=""),"Dopuniti evidenciju",IF(OR(NOT(ISNUMBER(V34)),NOT(ISNUMBER(W34))),"Proveriti datume",IF(OR(V34&lt;36526,V34&gt;73050,W34&lt;36526,W34&gt;73050,V34&gt;Pregled!$B$7,W34&lt;V34),"Proveriti datume","Evidentirano")))))</f>
        <v/>
      </c>
      <c r="AH34" s="47" t="str">
        <f>IF(AND(Z34="Da",AA34&lt;&gt;"",AB34&lt;&gt;"",AC34&lt;&gt;"",ISNUMBER(AD34),AD34&gt;=36526,AD34&lt;=73050,AD34&lt;=Pregled!$B$7,AF34="Popunjeno",AG34="Evidentirano",OR(H34="Pilot",H34="Uslovno odobreno",H34="Odobreno")),COUNT($AH$7:AH33)+1,"")</f>
        <v/>
      </c>
    </row>
    <row r="35" ht="54.0" customHeight="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9"/>
      <c r="W35" s="39"/>
      <c r="X35" s="37"/>
      <c r="Y35" s="37"/>
      <c r="Z35" s="37"/>
      <c r="AA35" s="37"/>
      <c r="AB35" s="37"/>
      <c r="AC35" s="37"/>
      <c r="AD35" s="39"/>
      <c r="AE35" s="46" t="str">
        <f>IF(COUNTA(A35:AD35)=0,"",IF(OR(H35="Povučeno",H35="Odbijeno",H35="Obustavljeno"),"Nije aktivno",IF(W35="","Nije određen",IF(OR(NOT(ISNUMBER(W35)),W35&lt;36526,W35&gt;73050),"Proveriti datum",IF(W35&lt;Pregled!$B$7,"Kasni",IF(W35&lt;=Pregled!$B$7+Pregled!$F$7,"Uskoro","U roku"))))))</f>
        <v/>
      </c>
      <c r="AF35" s="46" t="str">
        <f>IF(COUNTA(A35:AD35)=0,"",IF(A35="","Nedostaje ID",IF(COUNTIFS($A$8:$A$207,A35)&gt;1,"Duplikat ID",IF(OR(B35="",E35="",G35="",COUNTIF(Liste!$B$7:$B$13,H35)=0),"Dopuniti osnovno","Popunjeno"))))</f>
        <v/>
      </c>
      <c r="AG35" s="46" t="str">
        <f>IF(COUNTA(A35:AD35)=0,"",IF(NOT(OR(H35="Pilot",H35="Uslovno odobreno",H35="Odobreno")),"Nije aktivna odluka",IF(OR(K35="",N35="",O35="",P35="",Q35="",R35="",S35="",T35="",U35="",V35="",W35="",X35=""),"Dopuniti evidenciju",IF(OR(NOT(ISNUMBER(V35)),NOT(ISNUMBER(W35))),"Proveriti datume",IF(OR(V35&lt;36526,V35&gt;73050,W35&lt;36526,W35&gt;73050,V35&gt;Pregled!$B$7,W35&lt;V35),"Proveriti datume","Evidentirano")))))</f>
        <v/>
      </c>
      <c r="AH35" s="47" t="str">
        <f>IF(AND(Z35="Da",AA35&lt;&gt;"",AB35&lt;&gt;"",AC35&lt;&gt;"",ISNUMBER(AD35),AD35&gt;=36526,AD35&lt;=73050,AD35&lt;=Pregled!$B$7,AF35="Popunjeno",AG35="Evidentirano",OR(H35="Pilot",H35="Uslovno odobreno",H35="Odobreno")),COUNT($AH$7:AH34)+1,"")</f>
        <v/>
      </c>
    </row>
    <row r="36" ht="54.0" customHeight="1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9"/>
      <c r="W36" s="39"/>
      <c r="X36" s="37"/>
      <c r="Y36" s="37"/>
      <c r="Z36" s="37"/>
      <c r="AA36" s="37"/>
      <c r="AB36" s="37"/>
      <c r="AC36" s="37"/>
      <c r="AD36" s="39"/>
      <c r="AE36" s="46" t="str">
        <f>IF(COUNTA(A36:AD36)=0,"",IF(OR(H36="Povučeno",H36="Odbijeno",H36="Obustavljeno"),"Nije aktivno",IF(W36="","Nije određen",IF(OR(NOT(ISNUMBER(W36)),W36&lt;36526,W36&gt;73050),"Proveriti datum",IF(W36&lt;Pregled!$B$7,"Kasni",IF(W36&lt;=Pregled!$B$7+Pregled!$F$7,"Uskoro","U roku"))))))</f>
        <v/>
      </c>
      <c r="AF36" s="46" t="str">
        <f>IF(COUNTA(A36:AD36)=0,"",IF(A36="","Nedostaje ID",IF(COUNTIFS($A$8:$A$207,A36)&gt;1,"Duplikat ID",IF(OR(B36="",E36="",G36="",COUNTIF(Liste!$B$7:$B$13,H36)=0),"Dopuniti osnovno","Popunjeno"))))</f>
        <v/>
      </c>
      <c r="AG36" s="46" t="str">
        <f>IF(COUNTA(A36:AD36)=0,"",IF(NOT(OR(H36="Pilot",H36="Uslovno odobreno",H36="Odobreno")),"Nije aktivna odluka",IF(OR(K36="",N36="",O36="",P36="",Q36="",R36="",S36="",T36="",U36="",V36="",W36="",X36=""),"Dopuniti evidenciju",IF(OR(NOT(ISNUMBER(V36)),NOT(ISNUMBER(W36))),"Proveriti datume",IF(OR(V36&lt;36526,V36&gt;73050,W36&lt;36526,W36&gt;73050,V36&gt;Pregled!$B$7,W36&lt;V36),"Proveriti datume","Evidentirano")))))</f>
        <v/>
      </c>
      <c r="AH36" s="47" t="str">
        <f>IF(AND(Z36="Da",AA36&lt;&gt;"",AB36&lt;&gt;"",AC36&lt;&gt;"",ISNUMBER(AD36),AD36&gt;=36526,AD36&lt;=73050,AD36&lt;=Pregled!$B$7,AF36="Popunjeno",AG36="Evidentirano",OR(H36="Pilot",H36="Uslovno odobreno",H36="Odobreno")),COUNT($AH$7:AH35)+1,"")</f>
        <v/>
      </c>
    </row>
    <row r="37" ht="54.0" customHeight="1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9"/>
      <c r="W37" s="39"/>
      <c r="X37" s="37"/>
      <c r="Y37" s="37"/>
      <c r="Z37" s="37"/>
      <c r="AA37" s="37"/>
      <c r="AB37" s="37"/>
      <c r="AC37" s="37"/>
      <c r="AD37" s="39"/>
      <c r="AE37" s="46" t="str">
        <f>IF(COUNTA(A37:AD37)=0,"",IF(OR(H37="Povučeno",H37="Odbijeno",H37="Obustavljeno"),"Nije aktivno",IF(W37="","Nije određen",IF(OR(NOT(ISNUMBER(W37)),W37&lt;36526,W37&gt;73050),"Proveriti datum",IF(W37&lt;Pregled!$B$7,"Kasni",IF(W37&lt;=Pregled!$B$7+Pregled!$F$7,"Uskoro","U roku"))))))</f>
        <v/>
      </c>
      <c r="AF37" s="46" t="str">
        <f>IF(COUNTA(A37:AD37)=0,"",IF(A37="","Nedostaje ID",IF(COUNTIFS($A$8:$A$207,A37)&gt;1,"Duplikat ID",IF(OR(B37="",E37="",G37="",COUNTIF(Liste!$B$7:$B$13,H37)=0),"Dopuniti osnovno","Popunjeno"))))</f>
        <v/>
      </c>
      <c r="AG37" s="46" t="str">
        <f>IF(COUNTA(A37:AD37)=0,"",IF(NOT(OR(H37="Pilot",H37="Uslovno odobreno",H37="Odobreno")),"Nije aktivna odluka",IF(OR(K37="",N37="",O37="",P37="",Q37="",R37="",S37="",T37="",U37="",V37="",W37="",X37=""),"Dopuniti evidenciju",IF(OR(NOT(ISNUMBER(V37)),NOT(ISNUMBER(W37))),"Proveriti datume",IF(OR(V37&lt;36526,V37&gt;73050,W37&lt;36526,W37&gt;73050,V37&gt;Pregled!$B$7,W37&lt;V37),"Proveriti datume","Evidentirano")))))</f>
        <v/>
      </c>
      <c r="AH37" s="47" t="str">
        <f>IF(AND(Z37="Da",AA37&lt;&gt;"",AB37&lt;&gt;"",AC37&lt;&gt;"",ISNUMBER(AD37),AD37&gt;=36526,AD37&lt;=73050,AD37&lt;=Pregled!$B$7,AF37="Popunjeno",AG37="Evidentirano",OR(H37="Pilot",H37="Uslovno odobreno",H37="Odobreno")),COUNT($AH$7:AH36)+1,"")</f>
        <v/>
      </c>
    </row>
    <row r="38" ht="54.0" customHeight="1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9"/>
      <c r="W38" s="39"/>
      <c r="X38" s="37"/>
      <c r="Y38" s="37"/>
      <c r="Z38" s="37"/>
      <c r="AA38" s="37"/>
      <c r="AB38" s="37"/>
      <c r="AC38" s="37"/>
      <c r="AD38" s="39"/>
      <c r="AE38" s="46" t="str">
        <f>IF(COUNTA(A38:AD38)=0,"",IF(OR(H38="Povučeno",H38="Odbijeno",H38="Obustavljeno"),"Nije aktivno",IF(W38="","Nije određen",IF(OR(NOT(ISNUMBER(W38)),W38&lt;36526,W38&gt;73050),"Proveriti datum",IF(W38&lt;Pregled!$B$7,"Kasni",IF(W38&lt;=Pregled!$B$7+Pregled!$F$7,"Uskoro","U roku"))))))</f>
        <v/>
      </c>
      <c r="AF38" s="46" t="str">
        <f>IF(COUNTA(A38:AD38)=0,"",IF(A38="","Nedostaje ID",IF(COUNTIFS($A$8:$A$207,A38)&gt;1,"Duplikat ID",IF(OR(B38="",E38="",G38="",COUNTIF(Liste!$B$7:$B$13,H38)=0),"Dopuniti osnovno","Popunjeno"))))</f>
        <v/>
      </c>
      <c r="AG38" s="46" t="str">
        <f>IF(COUNTA(A38:AD38)=0,"",IF(NOT(OR(H38="Pilot",H38="Uslovno odobreno",H38="Odobreno")),"Nije aktivna odluka",IF(OR(K38="",N38="",O38="",P38="",Q38="",R38="",S38="",T38="",U38="",V38="",W38="",X38=""),"Dopuniti evidenciju",IF(OR(NOT(ISNUMBER(V38)),NOT(ISNUMBER(W38))),"Proveriti datume",IF(OR(V38&lt;36526,V38&gt;73050,W38&lt;36526,W38&gt;73050,V38&gt;Pregled!$B$7,W38&lt;V38),"Proveriti datume","Evidentirano")))))</f>
        <v/>
      </c>
      <c r="AH38" s="47" t="str">
        <f>IF(AND(Z38="Da",AA38&lt;&gt;"",AB38&lt;&gt;"",AC38&lt;&gt;"",ISNUMBER(AD38),AD38&gt;=36526,AD38&lt;=73050,AD38&lt;=Pregled!$B$7,AF38="Popunjeno",AG38="Evidentirano",OR(H38="Pilot",H38="Uslovno odobreno",H38="Odobreno")),COUNT($AH$7:AH37)+1,"")</f>
        <v/>
      </c>
    </row>
    <row r="39" ht="54.0" customHeight="1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9"/>
      <c r="W39" s="39"/>
      <c r="X39" s="37"/>
      <c r="Y39" s="37"/>
      <c r="Z39" s="37"/>
      <c r="AA39" s="37"/>
      <c r="AB39" s="37"/>
      <c r="AC39" s="37"/>
      <c r="AD39" s="39"/>
      <c r="AE39" s="46" t="str">
        <f>IF(COUNTA(A39:AD39)=0,"",IF(OR(H39="Povučeno",H39="Odbijeno",H39="Obustavljeno"),"Nije aktivno",IF(W39="","Nije određen",IF(OR(NOT(ISNUMBER(W39)),W39&lt;36526,W39&gt;73050),"Proveriti datum",IF(W39&lt;Pregled!$B$7,"Kasni",IF(W39&lt;=Pregled!$B$7+Pregled!$F$7,"Uskoro","U roku"))))))</f>
        <v/>
      </c>
      <c r="AF39" s="46" t="str">
        <f>IF(COUNTA(A39:AD39)=0,"",IF(A39="","Nedostaje ID",IF(COUNTIFS($A$8:$A$207,A39)&gt;1,"Duplikat ID",IF(OR(B39="",E39="",G39="",COUNTIF(Liste!$B$7:$B$13,H39)=0),"Dopuniti osnovno","Popunjeno"))))</f>
        <v/>
      </c>
      <c r="AG39" s="46" t="str">
        <f>IF(COUNTA(A39:AD39)=0,"",IF(NOT(OR(H39="Pilot",H39="Uslovno odobreno",H39="Odobreno")),"Nije aktivna odluka",IF(OR(K39="",N39="",O39="",P39="",Q39="",R39="",S39="",T39="",U39="",V39="",W39="",X39=""),"Dopuniti evidenciju",IF(OR(NOT(ISNUMBER(V39)),NOT(ISNUMBER(W39))),"Proveriti datume",IF(OR(V39&lt;36526,V39&gt;73050,W39&lt;36526,W39&gt;73050,V39&gt;Pregled!$B$7,W39&lt;V39),"Proveriti datume","Evidentirano")))))</f>
        <v/>
      </c>
      <c r="AH39" s="47" t="str">
        <f>IF(AND(Z39="Da",AA39&lt;&gt;"",AB39&lt;&gt;"",AC39&lt;&gt;"",ISNUMBER(AD39),AD39&gt;=36526,AD39&lt;=73050,AD39&lt;=Pregled!$B$7,AF39="Popunjeno",AG39="Evidentirano",OR(H39="Pilot",H39="Uslovno odobreno",H39="Odobreno")),COUNT($AH$7:AH38)+1,"")</f>
        <v/>
      </c>
    </row>
    <row r="40" ht="54.0" customHeight="1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9"/>
      <c r="W40" s="39"/>
      <c r="X40" s="37"/>
      <c r="Y40" s="37"/>
      <c r="Z40" s="37"/>
      <c r="AA40" s="37"/>
      <c r="AB40" s="37"/>
      <c r="AC40" s="37"/>
      <c r="AD40" s="39"/>
      <c r="AE40" s="46" t="str">
        <f>IF(COUNTA(A40:AD40)=0,"",IF(OR(H40="Povučeno",H40="Odbijeno",H40="Obustavljeno"),"Nije aktivno",IF(W40="","Nije određen",IF(OR(NOT(ISNUMBER(W40)),W40&lt;36526,W40&gt;73050),"Proveriti datum",IF(W40&lt;Pregled!$B$7,"Kasni",IF(W40&lt;=Pregled!$B$7+Pregled!$F$7,"Uskoro","U roku"))))))</f>
        <v/>
      </c>
      <c r="AF40" s="46" t="str">
        <f>IF(COUNTA(A40:AD40)=0,"",IF(A40="","Nedostaje ID",IF(COUNTIFS($A$8:$A$207,A40)&gt;1,"Duplikat ID",IF(OR(B40="",E40="",G40="",COUNTIF(Liste!$B$7:$B$13,H40)=0),"Dopuniti osnovno","Popunjeno"))))</f>
        <v/>
      </c>
      <c r="AG40" s="46" t="str">
        <f>IF(COUNTA(A40:AD40)=0,"",IF(NOT(OR(H40="Pilot",H40="Uslovno odobreno",H40="Odobreno")),"Nije aktivna odluka",IF(OR(K40="",N40="",O40="",P40="",Q40="",R40="",S40="",T40="",U40="",V40="",W40="",X40=""),"Dopuniti evidenciju",IF(OR(NOT(ISNUMBER(V40)),NOT(ISNUMBER(W40))),"Proveriti datume",IF(OR(V40&lt;36526,V40&gt;73050,W40&lt;36526,W40&gt;73050,V40&gt;Pregled!$B$7,W40&lt;V40),"Proveriti datume","Evidentirano")))))</f>
        <v/>
      </c>
      <c r="AH40" s="47" t="str">
        <f>IF(AND(Z40="Da",AA40&lt;&gt;"",AB40&lt;&gt;"",AC40&lt;&gt;"",ISNUMBER(AD40),AD40&gt;=36526,AD40&lt;=73050,AD40&lt;=Pregled!$B$7,AF40="Popunjeno",AG40="Evidentirano",OR(H40="Pilot",H40="Uslovno odobreno",H40="Odobreno")),COUNT($AH$7:AH39)+1,"")</f>
        <v/>
      </c>
    </row>
    <row r="41" ht="54.0" customHeight="1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9"/>
      <c r="W41" s="39"/>
      <c r="X41" s="37"/>
      <c r="Y41" s="37"/>
      <c r="Z41" s="37"/>
      <c r="AA41" s="37"/>
      <c r="AB41" s="37"/>
      <c r="AC41" s="37"/>
      <c r="AD41" s="39"/>
      <c r="AE41" s="46" t="str">
        <f>IF(COUNTA(A41:AD41)=0,"",IF(OR(H41="Povučeno",H41="Odbijeno",H41="Obustavljeno"),"Nije aktivno",IF(W41="","Nije određen",IF(OR(NOT(ISNUMBER(W41)),W41&lt;36526,W41&gt;73050),"Proveriti datum",IF(W41&lt;Pregled!$B$7,"Kasni",IF(W41&lt;=Pregled!$B$7+Pregled!$F$7,"Uskoro","U roku"))))))</f>
        <v/>
      </c>
      <c r="AF41" s="46" t="str">
        <f>IF(COUNTA(A41:AD41)=0,"",IF(A41="","Nedostaje ID",IF(COUNTIFS($A$8:$A$207,A41)&gt;1,"Duplikat ID",IF(OR(B41="",E41="",G41="",COUNTIF(Liste!$B$7:$B$13,H41)=0),"Dopuniti osnovno","Popunjeno"))))</f>
        <v/>
      </c>
      <c r="AG41" s="46" t="str">
        <f>IF(COUNTA(A41:AD41)=0,"",IF(NOT(OR(H41="Pilot",H41="Uslovno odobreno",H41="Odobreno")),"Nije aktivna odluka",IF(OR(K41="",N41="",O41="",P41="",Q41="",R41="",S41="",T41="",U41="",V41="",W41="",X41=""),"Dopuniti evidenciju",IF(OR(NOT(ISNUMBER(V41)),NOT(ISNUMBER(W41))),"Proveriti datume",IF(OR(V41&lt;36526,V41&gt;73050,W41&lt;36526,W41&gt;73050,V41&gt;Pregled!$B$7,W41&lt;V41),"Proveriti datume","Evidentirano")))))</f>
        <v/>
      </c>
      <c r="AH41" s="47" t="str">
        <f>IF(AND(Z41="Da",AA41&lt;&gt;"",AB41&lt;&gt;"",AC41&lt;&gt;"",ISNUMBER(AD41),AD41&gt;=36526,AD41&lt;=73050,AD41&lt;=Pregled!$B$7,AF41="Popunjeno",AG41="Evidentirano",OR(H41="Pilot",H41="Uslovno odobreno",H41="Odobreno")),COUNT($AH$7:AH40)+1,"")</f>
        <v/>
      </c>
    </row>
    <row r="42" ht="54.0" customHeight="1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9"/>
      <c r="W42" s="39"/>
      <c r="X42" s="37"/>
      <c r="Y42" s="37"/>
      <c r="Z42" s="37"/>
      <c r="AA42" s="37"/>
      <c r="AB42" s="37"/>
      <c r="AC42" s="37"/>
      <c r="AD42" s="39"/>
      <c r="AE42" s="46" t="str">
        <f>IF(COUNTA(A42:AD42)=0,"",IF(OR(H42="Povučeno",H42="Odbijeno",H42="Obustavljeno"),"Nije aktivno",IF(W42="","Nije određen",IF(OR(NOT(ISNUMBER(W42)),W42&lt;36526,W42&gt;73050),"Proveriti datum",IF(W42&lt;Pregled!$B$7,"Kasni",IF(W42&lt;=Pregled!$B$7+Pregled!$F$7,"Uskoro","U roku"))))))</f>
        <v/>
      </c>
      <c r="AF42" s="46" t="str">
        <f>IF(COUNTA(A42:AD42)=0,"",IF(A42="","Nedostaje ID",IF(COUNTIFS($A$8:$A$207,A42)&gt;1,"Duplikat ID",IF(OR(B42="",E42="",G42="",COUNTIF(Liste!$B$7:$B$13,H42)=0),"Dopuniti osnovno","Popunjeno"))))</f>
        <v/>
      </c>
      <c r="AG42" s="46" t="str">
        <f>IF(COUNTA(A42:AD42)=0,"",IF(NOT(OR(H42="Pilot",H42="Uslovno odobreno",H42="Odobreno")),"Nije aktivna odluka",IF(OR(K42="",N42="",O42="",P42="",Q42="",R42="",S42="",T42="",U42="",V42="",W42="",X42=""),"Dopuniti evidenciju",IF(OR(NOT(ISNUMBER(V42)),NOT(ISNUMBER(W42))),"Proveriti datume",IF(OR(V42&lt;36526,V42&gt;73050,W42&lt;36526,W42&gt;73050,V42&gt;Pregled!$B$7,W42&lt;V42),"Proveriti datume","Evidentirano")))))</f>
        <v/>
      </c>
      <c r="AH42" s="47" t="str">
        <f>IF(AND(Z42="Da",AA42&lt;&gt;"",AB42&lt;&gt;"",AC42&lt;&gt;"",ISNUMBER(AD42),AD42&gt;=36526,AD42&lt;=73050,AD42&lt;=Pregled!$B$7,AF42="Popunjeno",AG42="Evidentirano",OR(H42="Pilot",H42="Uslovno odobreno",H42="Odobreno")),COUNT($AH$7:AH41)+1,"")</f>
        <v/>
      </c>
    </row>
    <row r="43" ht="54.0" customHeight="1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9"/>
      <c r="W43" s="39"/>
      <c r="X43" s="37"/>
      <c r="Y43" s="37"/>
      <c r="Z43" s="37"/>
      <c r="AA43" s="37"/>
      <c r="AB43" s="37"/>
      <c r="AC43" s="37"/>
      <c r="AD43" s="39"/>
      <c r="AE43" s="46" t="str">
        <f>IF(COUNTA(A43:AD43)=0,"",IF(OR(H43="Povučeno",H43="Odbijeno",H43="Obustavljeno"),"Nije aktivno",IF(W43="","Nije određen",IF(OR(NOT(ISNUMBER(W43)),W43&lt;36526,W43&gt;73050),"Proveriti datum",IF(W43&lt;Pregled!$B$7,"Kasni",IF(W43&lt;=Pregled!$B$7+Pregled!$F$7,"Uskoro","U roku"))))))</f>
        <v/>
      </c>
      <c r="AF43" s="46" t="str">
        <f>IF(COUNTA(A43:AD43)=0,"",IF(A43="","Nedostaje ID",IF(COUNTIFS($A$8:$A$207,A43)&gt;1,"Duplikat ID",IF(OR(B43="",E43="",G43="",COUNTIF(Liste!$B$7:$B$13,H43)=0),"Dopuniti osnovno","Popunjeno"))))</f>
        <v/>
      </c>
      <c r="AG43" s="46" t="str">
        <f>IF(COUNTA(A43:AD43)=0,"",IF(NOT(OR(H43="Pilot",H43="Uslovno odobreno",H43="Odobreno")),"Nije aktivna odluka",IF(OR(K43="",N43="",O43="",P43="",Q43="",R43="",S43="",T43="",U43="",V43="",W43="",X43=""),"Dopuniti evidenciju",IF(OR(NOT(ISNUMBER(V43)),NOT(ISNUMBER(W43))),"Proveriti datume",IF(OR(V43&lt;36526,V43&gt;73050,W43&lt;36526,W43&gt;73050,V43&gt;Pregled!$B$7,W43&lt;V43),"Proveriti datume","Evidentirano")))))</f>
        <v/>
      </c>
      <c r="AH43" s="47" t="str">
        <f>IF(AND(Z43="Da",AA43&lt;&gt;"",AB43&lt;&gt;"",AC43&lt;&gt;"",ISNUMBER(AD43),AD43&gt;=36526,AD43&lt;=73050,AD43&lt;=Pregled!$B$7,AF43="Popunjeno",AG43="Evidentirano",OR(H43="Pilot",H43="Uslovno odobreno",H43="Odobreno")),COUNT($AH$7:AH42)+1,"")</f>
        <v/>
      </c>
    </row>
    <row r="44" ht="54.0" customHeight="1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9"/>
      <c r="W44" s="39"/>
      <c r="X44" s="37"/>
      <c r="Y44" s="37"/>
      <c r="Z44" s="37"/>
      <c r="AA44" s="37"/>
      <c r="AB44" s="37"/>
      <c r="AC44" s="37"/>
      <c r="AD44" s="39"/>
      <c r="AE44" s="46" t="str">
        <f>IF(COUNTA(A44:AD44)=0,"",IF(OR(H44="Povučeno",H44="Odbijeno",H44="Obustavljeno"),"Nije aktivno",IF(W44="","Nije određen",IF(OR(NOT(ISNUMBER(W44)),W44&lt;36526,W44&gt;73050),"Proveriti datum",IF(W44&lt;Pregled!$B$7,"Kasni",IF(W44&lt;=Pregled!$B$7+Pregled!$F$7,"Uskoro","U roku"))))))</f>
        <v/>
      </c>
      <c r="AF44" s="46" t="str">
        <f>IF(COUNTA(A44:AD44)=0,"",IF(A44="","Nedostaje ID",IF(COUNTIFS($A$8:$A$207,A44)&gt;1,"Duplikat ID",IF(OR(B44="",E44="",G44="",COUNTIF(Liste!$B$7:$B$13,H44)=0),"Dopuniti osnovno","Popunjeno"))))</f>
        <v/>
      </c>
      <c r="AG44" s="46" t="str">
        <f>IF(COUNTA(A44:AD44)=0,"",IF(NOT(OR(H44="Pilot",H44="Uslovno odobreno",H44="Odobreno")),"Nije aktivna odluka",IF(OR(K44="",N44="",O44="",P44="",Q44="",R44="",S44="",T44="",U44="",V44="",W44="",X44=""),"Dopuniti evidenciju",IF(OR(NOT(ISNUMBER(V44)),NOT(ISNUMBER(W44))),"Proveriti datume",IF(OR(V44&lt;36526,V44&gt;73050,W44&lt;36526,W44&gt;73050,V44&gt;Pregled!$B$7,W44&lt;V44),"Proveriti datume","Evidentirano")))))</f>
        <v/>
      </c>
      <c r="AH44" s="47" t="str">
        <f>IF(AND(Z44="Da",AA44&lt;&gt;"",AB44&lt;&gt;"",AC44&lt;&gt;"",ISNUMBER(AD44),AD44&gt;=36526,AD44&lt;=73050,AD44&lt;=Pregled!$B$7,AF44="Popunjeno",AG44="Evidentirano",OR(H44="Pilot",H44="Uslovno odobreno",H44="Odobreno")),COUNT($AH$7:AH43)+1,"")</f>
        <v/>
      </c>
    </row>
    <row r="45" ht="54.0" customHeight="1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9"/>
      <c r="W45" s="39"/>
      <c r="X45" s="37"/>
      <c r="Y45" s="37"/>
      <c r="Z45" s="37"/>
      <c r="AA45" s="37"/>
      <c r="AB45" s="37"/>
      <c r="AC45" s="37"/>
      <c r="AD45" s="39"/>
      <c r="AE45" s="46" t="str">
        <f>IF(COUNTA(A45:AD45)=0,"",IF(OR(H45="Povučeno",H45="Odbijeno",H45="Obustavljeno"),"Nije aktivno",IF(W45="","Nije određen",IF(OR(NOT(ISNUMBER(W45)),W45&lt;36526,W45&gt;73050),"Proveriti datum",IF(W45&lt;Pregled!$B$7,"Kasni",IF(W45&lt;=Pregled!$B$7+Pregled!$F$7,"Uskoro","U roku"))))))</f>
        <v/>
      </c>
      <c r="AF45" s="46" t="str">
        <f>IF(COUNTA(A45:AD45)=0,"",IF(A45="","Nedostaje ID",IF(COUNTIFS($A$8:$A$207,A45)&gt;1,"Duplikat ID",IF(OR(B45="",E45="",G45="",COUNTIF(Liste!$B$7:$B$13,H45)=0),"Dopuniti osnovno","Popunjeno"))))</f>
        <v/>
      </c>
      <c r="AG45" s="46" t="str">
        <f>IF(COUNTA(A45:AD45)=0,"",IF(NOT(OR(H45="Pilot",H45="Uslovno odobreno",H45="Odobreno")),"Nije aktivna odluka",IF(OR(K45="",N45="",O45="",P45="",Q45="",R45="",S45="",T45="",U45="",V45="",W45="",X45=""),"Dopuniti evidenciju",IF(OR(NOT(ISNUMBER(V45)),NOT(ISNUMBER(W45))),"Proveriti datume",IF(OR(V45&lt;36526,V45&gt;73050,W45&lt;36526,W45&gt;73050,V45&gt;Pregled!$B$7,W45&lt;V45),"Proveriti datume","Evidentirano")))))</f>
        <v/>
      </c>
      <c r="AH45" s="47" t="str">
        <f>IF(AND(Z45="Da",AA45&lt;&gt;"",AB45&lt;&gt;"",AC45&lt;&gt;"",ISNUMBER(AD45),AD45&gt;=36526,AD45&lt;=73050,AD45&lt;=Pregled!$B$7,AF45="Popunjeno",AG45="Evidentirano",OR(H45="Pilot",H45="Uslovno odobreno",H45="Odobreno")),COUNT($AH$7:AH44)+1,"")</f>
        <v/>
      </c>
    </row>
    <row r="46" ht="54.0" customHeight="1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9"/>
      <c r="W46" s="39"/>
      <c r="X46" s="37"/>
      <c r="Y46" s="37"/>
      <c r="Z46" s="37"/>
      <c r="AA46" s="37"/>
      <c r="AB46" s="37"/>
      <c r="AC46" s="37"/>
      <c r="AD46" s="39"/>
      <c r="AE46" s="46" t="str">
        <f>IF(COUNTA(A46:AD46)=0,"",IF(OR(H46="Povučeno",H46="Odbijeno",H46="Obustavljeno"),"Nije aktivno",IF(W46="","Nije određen",IF(OR(NOT(ISNUMBER(W46)),W46&lt;36526,W46&gt;73050),"Proveriti datum",IF(W46&lt;Pregled!$B$7,"Kasni",IF(W46&lt;=Pregled!$B$7+Pregled!$F$7,"Uskoro","U roku"))))))</f>
        <v/>
      </c>
      <c r="AF46" s="46" t="str">
        <f>IF(COUNTA(A46:AD46)=0,"",IF(A46="","Nedostaje ID",IF(COUNTIFS($A$8:$A$207,A46)&gt;1,"Duplikat ID",IF(OR(B46="",E46="",G46="",COUNTIF(Liste!$B$7:$B$13,H46)=0),"Dopuniti osnovno","Popunjeno"))))</f>
        <v/>
      </c>
      <c r="AG46" s="46" t="str">
        <f>IF(COUNTA(A46:AD46)=0,"",IF(NOT(OR(H46="Pilot",H46="Uslovno odobreno",H46="Odobreno")),"Nije aktivna odluka",IF(OR(K46="",N46="",O46="",P46="",Q46="",R46="",S46="",T46="",U46="",V46="",W46="",X46=""),"Dopuniti evidenciju",IF(OR(NOT(ISNUMBER(V46)),NOT(ISNUMBER(W46))),"Proveriti datume",IF(OR(V46&lt;36526,V46&gt;73050,W46&lt;36526,W46&gt;73050,V46&gt;Pregled!$B$7,W46&lt;V46),"Proveriti datume","Evidentirano")))))</f>
        <v/>
      </c>
      <c r="AH46" s="47" t="str">
        <f>IF(AND(Z46="Da",AA46&lt;&gt;"",AB46&lt;&gt;"",AC46&lt;&gt;"",ISNUMBER(AD46),AD46&gt;=36526,AD46&lt;=73050,AD46&lt;=Pregled!$B$7,AF46="Popunjeno",AG46="Evidentirano",OR(H46="Pilot",H46="Uslovno odobreno",H46="Odobreno")),COUNT($AH$7:AH45)+1,"")</f>
        <v/>
      </c>
    </row>
    <row r="47" ht="54.0" customHeight="1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9"/>
      <c r="W47" s="39"/>
      <c r="X47" s="37"/>
      <c r="Y47" s="37"/>
      <c r="Z47" s="37"/>
      <c r="AA47" s="37"/>
      <c r="AB47" s="37"/>
      <c r="AC47" s="37"/>
      <c r="AD47" s="39"/>
      <c r="AE47" s="46" t="str">
        <f>IF(COUNTA(A47:AD47)=0,"",IF(OR(H47="Povučeno",H47="Odbijeno",H47="Obustavljeno"),"Nije aktivno",IF(W47="","Nije određen",IF(OR(NOT(ISNUMBER(W47)),W47&lt;36526,W47&gt;73050),"Proveriti datum",IF(W47&lt;Pregled!$B$7,"Kasni",IF(W47&lt;=Pregled!$B$7+Pregled!$F$7,"Uskoro","U roku"))))))</f>
        <v/>
      </c>
      <c r="AF47" s="46" t="str">
        <f>IF(COUNTA(A47:AD47)=0,"",IF(A47="","Nedostaje ID",IF(COUNTIFS($A$8:$A$207,A47)&gt;1,"Duplikat ID",IF(OR(B47="",E47="",G47="",COUNTIF(Liste!$B$7:$B$13,H47)=0),"Dopuniti osnovno","Popunjeno"))))</f>
        <v/>
      </c>
      <c r="AG47" s="46" t="str">
        <f>IF(COUNTA(A47:AD47)=0,"",IF(NOT(OR(H47="Pilot",H47="Uslovno odobreno",H47="Odobreno")),"Nije aktivna odluka",IF(OR(K47="",N47="",O47="",P47="",Q47="",R47="",S47="",T47="",U47="",V47="",W47="",X47=""),"Dopuniti evidenciju",IF(OR(NOT(ISNUMBER(V47)),NOT(ISNUMBER(W47))),"Proveriti datume",IF(OR(V47&lt;36526,V47&gt;73050,W47&lt;36526,W47&gt;73050,V47&gt;Pregled!$B$7,W47&lt;V47),"Proveriti datume","Evidentirano")))))</f>
        <v/>
      </c>
      <c r="AH47" s="47" t="str">
        <f>IF(AND(Z47="Da",AA47&lt;&gt;"",AB47&lt;&gt;"",AC47&lt;&gt;"",ISNUMBER(AD47),AD47&gt;=36526,AD47&lt;=73050,AD47&lt;=Pregled!$B$7,AF47="Popunjeno",AG47="Evidentirano",OR(H47="Pilot",H47="Uslovno odobreno",H47="Odobreno")),COUNT($AH$7:AH46)+1,"")</f>
        <v/>
      </c>
    </row>
    <row r="48" ht="54.0" customHeight="1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9"/>
      <c r="W48" s="39"/>
      <c r="X48" s="37"/>
      <c r="Y48" s="37"/>
      <c r="Z48" s="37"/>
      <c r="AA48" s="37"/>
      <c r="AB48" s="37"/>
      <c r="AC48" s="37"/>
      <c r="AD48" s="39"/>
      <c r="AE48" s="46" t="str">
        <f>IF(COUNTA(A48:AD48)=0,"",IF(OR(H48="Povučeno",H48="Odbijeno",H48="Obustavljeno"),"Nije aktivno",IF(W48="","Nije određen",IF(OR(NOT(ISNUMBER(W48)),W48&lt;36526,W48&gt;73050),"Proveriti datum",IF(W48&lt;Pregled!$B$7,"Kasni",IF(W48&lt;=Pregled!$B$7+Pregled!$F$7,"Uskoro","U roku"))))))</f>
        <v/>
      </c>
      <c r="AF48" s="46" t="str">
        <f>IF(COUNTA(A48:AD48)=0,"",IF(A48="","Nedostaje ID",IF(COUNTIFS($A$8:$A$207,A48)&gt;1,"Duplikat ID",IF(OR(B48="",E48="",G48="",COUNTIF(Liste!$B$7:$B$13,H48)=0),"Dopuniti osnovno","Popunjeno"))))</f>
        <v/>
      </c>
      <c r="AG48" s="46" t="str">
        <f>IF(COUNTA(A48:AD48)=0,"",IF(NOT(OR(H48="Pilot",H48="Uslovno odobreno",H48="Odobreno")),"Nije aktivna odluka",IF(OR(K48="",N48="",O48="",P48="",Q48="",R48="",S48="",T48="",U48="",V48="",W48="",X48=""),"Dopuniti evidenciju",IF(OR(NOT(ISNUMBER(V48)),NOT(ISNUMBER(W48))),"Proveriti datume",IF(OR(V48&lt;36526,V48&gt;73050,W48&lt;36526,W48&gt;73050,V48&gt;Pregled!$B$7,W48&lt;V48),"Proveriti datume","Evidentirano")))))</f>
        <v/>
      </c>
      <c r="AH48" s="47" t="str">
        <f>IF(AND(Z48="Da",AA48&lt;&gt;"",AB48&lt;&gt;"",AC48&lt;&gt;"",ISNUMBER(AD48),AD48&gt;=36526,AD48&lt;=73050,AD48&lt;=Pregled!$B$7,AF48="Popunjeno",AG48="Evidentirano",OR(H48="Pilot",H48="Uslovno odobreno",H48="Odobreno")),COUNT($AH$7:AH47)+1,"")</f>
        <v/>
      </c>
    </row>
    <row r="49" ht="54.0" customHeight="1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9"/>
      <c r="W49" s="39"/>
      <c r="X49" s="37"/>
      <c r="Y49" s="37"/>
      <c r="Z49" s="37"/>
      <c r="AA49" s="37"/>
      <c r="AB49" s="37"/>
      <c r="AC49" s="37"/>
      <c r="AD49" s="39"/>
      <c r="AE49" s="46" t="str">
        <f>IF(COUNTA(A49:AD49)=0,"",IF(OR(H49="Povučeno",H49="Odbijeno",H49="Obustavljeno"),"Nije aktivno",IF(W49="","Nije određen",IF(OR(NOT(ISNUMBER(W49)),W49&lt;36526,W49&gt;73050),"Proveriti datum",IF(W49&lt;Pregled!$B$7,"Kasni",IF(W49&lt;=Pregled!$B$7+Pregled!$F$7,"Uskoro","U roku"))))))</f>
        <v/>
      </c>
      <c r="AF49" s="46" t="str">
        <f>IF(COUNTA(A49:AD49)=0,"",IF(A49="","Nedostaje ID",IF(COUNTIFS($A$8:$A$207,A49)&gt;1,"Duplikat ID",IF(OR(B49="",E49="",G49="",COUNTIF(Liste!$B$7:$B$13,H49)=0),"Dopuniti osnovno","Popunjeno"))))</f>
        <v/>
      </c>
      <c r="AG49" s="46" t="str">
        <f>IF(COUNTA(A49:AD49)=0,"",IF(NOT(OR(H49="Pilot",H49="Uslovno odobreno",H49="Odobreno")),"Nije aktivna odluka",IF(OR(K49="",N49="",O49="",P49="",Q49="",R49="",S49="",T49="",U49="",V49="",W49="",X49=""),"Dopuniti evidenciju",IF(OR(NOT(ISNUMBER(V49)),NOT(ISNUMBER(W49))),"Proveriti datume",IF(OR(V49&lt;36526,V49&gt;73050,W49&lt;36526,W49&gt;73050,V49&gt;Pregled!$B$7,W49&lt;V49),"Proveriti datume","Evidentirano")))))</f>
        <v/>
      </c>
      <c r="AH49" s="47" t="str">
        <f>IF(AND(Z49="Da",AA49&lt;&gt;"",AB49&lt;&gt;"",AC49&lt;&gt;"",ISNUMBER(AD49),AD49&gt;=36526,AD49&lt;=73050,AD49&lt;=Pregled!$B$7,AF49="Popunjeno",AG49="Evidentirano",OR(H49="Pilot",H49="Uslovno odobreno",H49="Odobreno")),COUNT($AH$7:AH48)+1,"")</f>
        <v/>
      </c>
    </row>
    <row r="50" ht="54.0" customHeight="1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9"/>
      <c r="W50" s="39"/>
      <c r="X50" s="37"/>
      <c r="Y50" s="37"/>
      <c r="Z50" s="37"/>
      <c r="AA50" s="37"/>
      <c r="AB50" s="37"/>
      <c r="AC50" s="37"/>
      <c r="AD50" s="39"/>
      <c r="AE50" s="46" t="str">
        <f>IF(COUNTA(A50:AD50)=0,"",IF(OR(H50="Povučeno",H50="Odbijeno",H50="Obustavljeno"),"Nije aktivno",IF(W50="","Nije određen",IF(OR(NOT(ISNUMBER(W50)),W50&lt;36526,W50&gt;73050),"Proveriti datum",IF(W50&lt;Pregled!$B$7,"Kasni",IF(W50&lt;=Pregled!$B$7+Pregled!$F$7,"Uskoro","U roku"))))))</f>
        <v/>
      </c>
      <c r="AF50" s="46" t="str">
        <f>IF(COUNTA(A50:AD50)=0,"",IF(A50="","Nedostaje ID",IF(COUNTIFS($A$8:$A$207,A50)&gt;1,"Duplikat ID",IF(OR(B50="",E50="",G50="",COUNTIF(Liste!$B$7:$B$13,H50)=0),"Dopuniti osnovno","Popunjeno"))))</f>
        <v/>
      </c>
      <c r="AG50" s="46" t="str">
        <f>IF(COUNTA(A50:AD50)=0,"",IF(NOT(OR(H50="Pilot",H50="Uslovno odobreno",H50="Odobreno")),"Nije aktivna odluka",IF(OR(K50="",N50="",O50="",P50="",Q50="",R50="",S50="",T50="",U50="",V50="",W50="",X50=""),"Dopuniti evidenciju",IF(OR(NOT(ISNUMBER(V50)),NOT(ISNUMBER(W50))),"Proveriti datume",IF(OR(V50&lt;36526,V50&gt;73050,W50&lt;36526,W50&gt;73050,V50&gt;Pregled!$B$7,W50&lt;V50),"Proveriti datume","Evidentirano")))))</f>
        <v/>
      </c>
      <c r="AH50" s="47" t="str">
        <f>IF(AND(Z50="Da",AA50&lt;&gt;"",AB50&lt;&gt;"",AC50&lt;&gt;"",ISNUMBER(AD50),AD50&gt;=36526,AD50&lt;=73050,AD50&lt;=Pregled!$B$7,AF50="Popunjeno",AG50="Evidentirano",OR(H50="Pilot",H50="Uslovno odobreno",H50="Odobreno")),COUNT($AH$7:AH49)+1,"")</f>
        <v/>
      </c>
    </row>
    <row r="51" ht="54.0" customHeight="1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9"/>
      <c r="W51" s="39"/>
      <c r="X51" s="37"/>
      <c r="Y51" s="37"/>
      <c r="Z51" s="37"/>
      <c r="AA51" s="37"/>
      <c r="AB51" s="37"/>
      <c r="AC51" s="37"/>
      <c r="AD51" s="39"/>
      <c r="AE51" s="46" t="str">
        <f>IF(COUNTA(A51:AD51)=0,"",IF(OR(H51="Povučeno",H51="Odbijeno",H51="Obustavljeno"),"Nije aktivno",IF(W51="","Nije određen",IF(OR(NOT(ISNUMBER(W51)),W51&lt;36526,W51&gt;73050),"Proveriti datum",IF(W51&lt;Pregled!$B$7,"Kasni",IF(W51&lt;=Pregled!$B$7+Pregled!$F$7,"Uskoro","U roku"))))))</f>
        <v/>
      </c>
      <c r="AF51" s="46" t="str">
        <f>IF(COUNTA(A51:AD51)=0,"",IF(A51="","Nedostaje ID",IF(COUNTIFS($A$8:$A$207,A51)&gt;1,"Duplikat ID",IF(OR(B51="",E51="",G51="",COUNTIF(Liste!$B$7:$B$13,H51)=0),"Dopuniti osnovno","Popunjeno"))))</f>
        <v/>
      </c>
      <c r="AG51" s="46" t="str">
        <f>IF(COUNTA(A51:AD51)=0,"",IF(NOT(OR(H51="Pilot",H51="Uslovno odobreno",H51="Odobreno")),"Nije aktivna odluka",IF(OR(K51="",N51="",O51="",P51="",Q51="",R51="",S51="",T51="",U51="",V51="",W51="",X51=""),"Dopuniti evidenciju",IF(OR(NOT(ISNUMBER(V51)),NOT(ISNUMBER(W51))),"Proveriti datume",IF(OR(V51&lt;36526,V51&gt;73050,W51&lt;36526,W51&gt;73050,V51&gt;Pregled!$B$7,W51&lt;V51),"Proveriti datume","Evidentirano")))))</f>
        <v/>
      </c>
      <c r="AH51" s="47" t="str">
        <f>IF(AND(Z51="Da",AA51&lt;&gt;"",AB51&lt;&gt;"",AC51&lt;&gt;"",ISNUMBER(AD51),AD51&gt;=36526,AD51&lt;=73050,AD51&lt;=Pregled!$B$7,AF51="Popunjeno",AG51="Evidentirano",OR(H51="Pilot",H51="Uslovno odobreno",H51="Odobreno")),COUNT($AH$7:AH50)+1,"")</f>
        <v/>
      </c>
    </row>
    <row r="52" ht="54.0" customHeight="1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9"/>
      <c r="W52" s="39"/>
      <c r="X52" s="37"/>
      <c r="Y52" s="37"/>
      <c r="Z52" s="37"/>
      <c r="AA52" s="37"/>
      <c r="AB52" s="37"/>
      <c r="AC52" s="37"/>
      <c r="AD52" s="39"/>
      <c r="AE52" s="46" t="str">
        <f>IF(COUNTA(A52:AD52)=0,"",IF(OR(H52="Povučeno",H52="Odbijeno",H52="Obustavljeno"),"Nije aktivno",IF(W52="","Nije određen",IF(OR(NOT(ISNUMBER(W52)),W52&lt;36526,W52&gt;73050),"Proveriti datum",IF(W52&lt;Pregled!$B$7,"Kasni",IF(W52&lt;=Pregled!$B$7+Pregled!$F$7,"Uskoro","U roku"))))))</f>
        <v/>
      </c>
      <c r="AF52" s="46" t="str">
        <f>IF(COUNTA(A52:AD52)=0,"",IF(A52="","Nedostaje ID",IF(COUNTIFS($A$8:$A$207,A52)&gt;1,"Duplikat ID",IF(OR(B52="",E52="",G52="",COUNTIF(Liste!$B$7:$B$13,H52)=0),"Dopuniti osnovno","Popunjeno"))))</f>
        <v/>
      </c>
      <c r="AG52" s="46" t="str">
        <f>IF(COUNTA(A52:AD52)=0,"",IF(NOT(OR(H52="Pilot",H52="Uslovno odobreno",H52="Odobreno")),"Nije aktivna odluka",IF(OR(K52="",N52="",O52="",P52="",Q52="",R52="",S52="",T52="",U52="",V52="",W52="",X52=""),"Dopuniti evidenciju",IF(OR(NOT(ISNUMBER(V52)),NOT(ISNUMBER(W52))),"Proveriti datume",IF(OR(V52&lt;36526,V52&gt;73050,W52&lt;36526,W52&gt;73050,V52&gt;Pregled!$B$7,W52&lt;V52),"Proveriti datume","Evidentirano")))))</f>
        <v/>
      </c>
      <c r="AH52" s="47" t="str">
        <f>IF(AND(Z52="Da",AA52&lt;&gt;"",AB52&lt;&gt;"",AC52&lt;&gt;"",ISNUMBER(AD52),AD52&gt;=36526,AD52&lt;=73050,AD52&lt;=Pregled!$B$7,AF52="Popunjeno",AG52="Evidentirano",OR(H52="Pilot",H52="Uslovno odobreno",H52="Odobreno")),COUNT($AH$7:AH51)+1,"")</f>
        <v/>
      </c>
    </row>
    <row r="53" ht="54.0" customHeight="1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9"/>
      <c r="W53" s="39"/>
      <c r="X53" s="37"/>
      <c r="Y53" s="37"/>
      <c r="Z53" s="37"/>
      <c r="AA53" s="37"/>
      <c r="AB53" s="37"/>
      <c r="AC53" s="37"/>
      <c r="AD53" s="39"/>
      <c r="AE53" s="46" t="str">
        <f>IF(COUNTA(A53:AD53)=0,"",IF(OR(H53="Povučeno",H53="Odbijeno",H53="Obustavljeno"),"Nije aktivno",IF(W53="","Nije određen",IF(OR(NOT(ISNUMBER(W53)),W53&lt;36526,W53&gt;73050),"Proveriti datum",IF(W53&lt;Pregled!$B$7,"Kasni",IF(W53&lt;=Pregled!$B$7+Pregled!$F$7,"Uskoro","U roku"))))))</f>
        <v/>
      </c>
      <c r="AF53" s="46" t="str">
        <f>IF(COUNTA(A53:AD53)=0,"",IF(A53="","Nedostaje ID",IF(COUNTIFS($A$8:$A$207,A53)&gt;1,"Duplikat ID",IF(OR(B53="",E53="",G53="",COUNTIF(Liste!$B$7:$B$13,H53)=0),"Dopuniti osnovno","Popunjeno"))))</f>
        <v/>
      </c>
      <c r="AG53" s="46" t="str">
        <f>IF(COUNTA(A53:AD53)=0,"",IF(NOT(OR(H53="Pilot",H53="Uslovno odobreno",H53="Odobreno")),"Nije aktivna odluka",IF(OR(K53="",N53="",O53="",P53="",Q53="",R53="",S53="",T53="",U53="",V53="",W53="",X53=""),"Dopuniti evidenciju",IF(OR(NOT(ISNUMBER(V53)),NOT(ISNUMBER(W53))),"Proveriti datume",IF(OR(V53&lt;36526,V53&gt;73050,W53&lt;36526,W53&gt;73050,V53&gt;Pregled!$B$7,W53&lt;V53),"Proveriti datume","Evidentirano")))))</f>
        <v/>
      </c>
      <c r="AH53" s="47" t="str">
        <f>IF(AND(Z53="Da",AA53&lt;&gt;"",AB53&lt;&gt;"",AC53&lt;&gt;"",ISNUMBER(AD53),AD53&gt;=36526,AD53&lt;=73050,AD53&lt;=Pregled!$B$7,AF53="Popunjeno",AG53="Evidentirano",OR(H53="Pilot",H53="Uslovno odobreno",H53="Odobreno")),COUNT($AH$7:AH52)+1,"")</f>
        <v/>
      </c>
    </row>
    <row r="54" ht="54.0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9"/>
      <c r="W54" s="39"/>
      <c r="X54" s="37"/>
      <c r="Y54" s="37"/>
      <c r="Z54" s="37"/>
      <c r="AA54" s="37"/>
      <c r="AB54" s="37"/>
      <c r="AC54" s="37"/>
      <c r="AD54" s="39"/>
      <c r="AE54" s="46" t="str">
        <f>IF(COUNTA(A54:AD54)=0,"",IF(OR(H54="Povučeno",H54="Odbijeno",H54="Obustavljeno"),"Nije aktivno",IF(W54="","Nije određen",IF(OR(NOT(ISNUMBER(W54)),W54&lt;36526,W54&gt;73050),"Proveriti datum",IF(W54&lt;Pregled!$B$7,"Kasni",IF(W54&lt;=Pregled!$B$7+Pregled!$F$7,"Uskoro","U roku"))))))</f>
        <v/>
      </c>
      <c r="AF54" s="46" t="str">
        <f>IF(COUNTA(A54:AD54)=0,"",IF(A54="","Nedostaje ID",IF(COUNTIFS($A$8:$A$207,A54)&gt;1,"Duplikat ID",IF(OR(B54="",E54="",G54="",COUNTIF(Liste!$B$7:$B$13,H54)=0),"Dopuniti osnovno","Popunjeno"))))</f>
        <v/>
      </c>
      <c r="AG54" s="46" t="str">
        <f>IF(COUNTA(A54:AD54)=0,"",IF(NOT(OR(H54="Pilot",H54="Uslovno odobreno",H54="Odobreno")),"Nije aktivna odluka",IF(OR(K54="",N54="",O54="",P54="",Q54="",R54="",S54="",T54="",U54="",V54="",W54="",X54=""),"Dopuniti evidenciju",IF(OR(NOT(ISNUMBER(V54)),NOT(ISNUMBER(W54))),"Proveriti datume",IF(OR(V54&lt;36526,V54&gt;73050,W54&lt;36526,W54&gt;73050,V54&gt;Pregled!$B$7,W54&lt;V54),"Proveriti datume","Evidentirano")))))</f>
        <v/>
      </c>
      <c r="AH54" s="47" t="str">
        <f>IF(AND(Z54="Da",AA54&lt;&gt;"",AB54&lt;&gt;"",AC54&lt;&gt;"",ISNUMBER(AD54),AD54&gt;=36526,AD54&lt;=73050,AD54&lt;=Pregled!$B$7,AF54="Popunjeno",AG54="Evidentirano",OR(H54="Pilot",H54="Uslovno odobreno",H54="Odobreno")),COUNT($AH$7:AH53)+1,"")</f>
        <v/>
      </c>
    </row>
    <row r="55" ht="54.0" customHeight="1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9"/>
      <c r="W55" s="39"/>
      <c r="X55" s="37"/>
      <c r="Y55" s="37"/>
      <c r="Z55" s="37"/>
      <c r="AA55" s="37"/>
      <c r="AB55" s="37"/>
      <c r="AC55" s="37"/>
      <c r="AD55" s="39"/>
      <c r="AE55" s="46" t="str">
        <f>IF(COUNTA(A55:AD55)=0,"",IF(OR(H55="Povučeno",H55="Odbijeno",H55="Obustavljeno"),"Nije aktivno",IF(W55="","Nije određen",IF(OR(NOT(ISNUMBER(W55)),W55&lt;36526,W55&gt;73050),"Proveriti datum",IF(W55&lt;Pregled!$B$7,"Kasni",IF(W55&lt;=Pregled!$B$7+Pregled!$F$7,"Uskoro","U roku"))))))</f>
        <v/>
      </c>
      <c r="AF55" s="46" t="str">
        <f>IF(COUNTA(A55:AD55)=0,"",IF(A55="","Nedostaje ID",IF(COUNTIFS($A$8:$A$207,A55)&gt;1,"Duplikat ID",IF(OR(B55="",E55="",G55="",COUNTIF(Liste!$B$7:$B$13,H55)=0),"Dopuniti osnovno","Popunjeno"))))</f>
        <v/>
      </c>
      <c r="AG55" s="46" t="str">
        <f>IF(COUNTA(A55:AD55)=0,"",IF(NOT(OR(H55="Pilot",H55="Uslovno odobreno",H55="Odobreno")),"Nije aktivna odluka",IF(OR(K55="",N55="",O55="",P55="",Q55="",R55="",S55="",T55="",U55="",V55="",W55="",X55=""),"Dopuniti evidenciju",IF(OR(NOT(ISNUMBER(V55)),NOT(ISNUMBER(W55))),"Proveriti datume",IF(OR(V55&lt;36526,V55&gt;73050,W55&lt;36526,W55&gt;73050,V55&gt;Pregled!$B$7,W55&lt;V55),"Proveriti datume","Evidentirano")))))</f>
        <v/>
      </c>
      <c r="AH55" s="47" t="str">
        <f>IF(AND(Z55="Da",AA55&lt;&gt;"",AB55&lt;&gt;"",AC55&lt;&gt;"",ISNUMBER(AD55),AD55&gt;=36526,AD55&lt;=73050,AD55&lt;=Pregled!$B$7,AF55="Popunjeno",AG55="Evidentirano",OR(H55="Pilot",H55="Uslovno odobreno",H55="Odobreno")),COUNT($AH$7:AH54)+1,"")</f>
        <v/>
      </c>
    </row>
    <row r="56" ht="54.0" customHeight="1">
      <c r="A56" s="36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9"/>
      <c r="W56" s="39"/>
      <c r="X56" s="37"/>
      <c r="Y56" s="37"/>
      <c r="Z56" s="37"/>
      <c r="AA56" s="37"/>
      <c r="AB56" s="37"/>
      <c r="AC56" s="37"/>
      <c r="AD56" s="39"/>
      <c r="AE56" s="46" t="str">
        <f>IF(COUNTA(A56:AD56)=0,"",IF(OR(H56="Povučeno",H56="Odbijeno",H56="Obustavljeno"),"Nije aktivno",IF(W56="","Nije određen",IF(OR(NOT(ISNUMBER(W56)),W56&lt;36526,W56&gt;73050),"Proveriti datum",IF(W56&lt;Pregled!$B$7,"Kasni",IF(W56&lt;=Pregled!$B$7+Pregled!$F$7,"Uskoro","U roku"))))))</f>
        <v/>
      </c>
      <c r="AF56" s="46" t="str">
        <f>IF(COUNTA(A56:AD56)=0,"",IF(A56="","Nedostaje ID",IF(COUNTIFS($A$8:$A$207,A56)&gt;1,"Duplikat ID",IF(OR(B56="",E56="",G56="",COUNTIF(Liste!$B$7:$B$13,H56)=0),"Dopuniti osnovno","Popunjeno"))))</f>
        <v/>
      </c>
      <c r="AG56" s="46" t="str">
        <f>IF(COUNTA(A56:AD56)=0,"",IF(NOT(OR(H56="Pilot",H56="Uslovno odobreno",H56="Odobreno")),"Nije aktivna odluka",IF(OR(K56="",N56="",O56="",P56="",Q56="",R56="",S56="",T56="",U56="",V56="",W56="",X56=""),"Dopuniti evidenciju",IF(OR(NOT(ISNUMBER(V56)),NOT(ISNUMBER(W56))),"Proveriti datume",IF(OR(V56&lt;36526,V56&gt;73050,W56&lt;36526,W56&gt;73050,V56&gt;Pregled!$B$7,W56&lt;V56),"Proveriti datume","Evidentirano")))))</f>
        <v/>
      </c>
      <c r="AH56" s="47" t="str">
        <f>IF(AND(Z56="Da",AA56&lt;&gt;"",AB56&lt;&gt;"",AC56&lt;&gt;"",ISNUMBER(AD56),AD56&gt;=36526,AD56&lt;=73050,AD56&lt;=Pregled!$B$7,AF56="Popunjeno",AG56="Evidentirano",OR(H56="Pilot",H56="Uslovno odobreno",H56="Odobreno")),COUNT($AH$7:AH55)+1,"")</f>
        <v/>
      </c>
    </row>
    <row r="57" ht="54.0" customHeight="1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9"/>
      <c r="W57" s="39"/>
      <c r="X57" s="37"/>
      <c r="Y57" s="37"/>
      <c r="Z57" s="37"/>
      <c r="AA57" s="37"/>
      <c r="AB57" s="37"/>
      <c r="AC57" s="37"/>
      <c r="AD57" s="39"/>
      <c r="AE57" s="46" t="str">
        <f>IF(COUNTA(A57:AD57)=0,"",IF(OR(H57="Povučeno",H57="Odbijeno",H57="Obustavljeno"),"Nije aktivno",IF(W57="","Nije određen",IF(OR(NOT(ISNUMBER(W57)),W57&lt;36526,W57&gt;73050),"Proveriti datum",IF(W57&lt;Pregled!$B$7,"Kasni",IF(W57&lt;=Pregled!$B$7+Pregled!$F$7,"Uskoro","U roku"))))))</f>
        <v/>
      </c>
      <c r="AF57" s="46" t="str">
        <f>IF(COUNTA(A57:AD57)=0,"",IF(A57="","Nedostaje ID",IF(COUNTIFS($A$8:$A$207,A57)&gt;1,"Duplikat ID",IF(OR(B57="",E57="",G57="",COUNTIF(Liste!$B$7:$B$13,H57)=0),"Dopuniti osnovno","Popunjeno"))))</f>
        <v/>
      </c>
      <c r="AG57" s="46" t="str">
        <f>IF(COUNTA(A57:AD57)=0,"",IF(NOT(OR(H57="Pilot",H57="Uslovno odobreno",H57="Odobreno")),"Nije aktivna odluka",IF(OR(K57="",N57="",O57="",P57="",Q57="",R57="",S57="",T57="",U57="",V57="",W57="",X57=""),"Dopuniti evidenciju",IF(OR(NOT(ISNUMBER(V57)),NOT(ISNUMBER(W57))),"Proveriti datume",IF(OR(V57&lt;36526,V57&gt;73050,W57&lt;36526,W57&gt;73050,V57&gt;Pregled!$B$7,W57&lt;V57),"Proveriti datume","Evidentirano")))))</f>
        <v/>
      </c>
      <c r="AH57" s="47" t="str">
        <f>IF(AND(Z57="Da",AA57&lt;&gt;"",AB57&lt;&gt;"",AC57&lt;&gt;"",ISNUMBER(AD57),AD57&gt;=36526,AD57&lt;=73050,AD57&lt;=Pregled!$B$7,AF57="Popunjeno",AG57="Evidentirano",OR(H57="Pilot",H57="Uslovno odobreno",H57="Odobreno")),COUNT($AH$7:AH56)+1,"")</f>
        <v/>
      </c>
    </row>
    <row r="58" ht="54.0" customHeight="1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9"/>
      <c r="W58" s="39"/>
      <c r="X58" s="37"/>
      <c r="Y58" s="37"/>
      <c r="Z58" s="37"/>
      <c r="AA58" s="37"/>
      <c r="AB58" s="37"/>
      <c r="AC58" s="37"/>
      <c r="AD58" s="39"/>
      <c r="AE58" s="46" t="str">
        <f>IF(COUNTA(A58:AD58)=0,"",IF(OR(H58="Povučeno",H58="Odbijeno",H58="Obustavljeno"),"Nije aktivno",IF(W58="","Nije određen",IF(OR(NOT(ISNUMBER(W58)),W58&lt;36526,W58&gt;73050),"Proveriti datum",IF(W58&lt;Pregled!$B$7,"Kasni",IF(W58&lt;=Pregled!$B$7+Pregled!$F$7,"Uskoro","U roku"))))))</f>
        <v/>
      </c>
      <c r="AF58" s="46" t="str">
        <f>IF(COUNTA(A58:AD58)=0,"",IF(A58="","Nedostaje ID",IF(COUNTIFS($A$8:$A$207,A58)&gt;1,"Duplikat ID",IF(OR(B58="",E58="",G58="",COUNTIF(Liste!$B$7:$B$13,H58)=0),"Dopuniti osnovno","Popunjeno"))))</f>
        <v/>
      </c>
      <c r="AG58" s="46" t="str">
        <f>IF(COUNTA(A58:AD58)=0,"",IF(NOT(OR(H58="Pilot",H58="Uslovno odobreno",H58="Odobreno")),"Nije aktivna odluka",IF(OR(K58="",N58="",O58="",P58="",Q58="",R58="",S58="",T58="",U58="",V58="",W58="",X58=""),"Dopuniti evidenciju",IF(OR(NOT(ISNUMBER(V58)),NOT(ISNUMBER(W58))),"Proveriti datume",IF(OR(V58&lt;36526,V58&gt;73050,W58&lt;36526,W58&gt;73050,V58&gt;Pregled!$B$7,W58&lt;V58),"Proveriti datume","Evidentirano")))))</f>
        <v/>
      </c>
      <c r="AH58" s="47" t="str">
        <f>IF(AND(Z58="Da",AA58&lt;&gt;"",AB58&lt;&gt;"",AC58&lt;&gt;"",ISNUMBER(AD58),AD58&gt;=36526,AD58&lt;=73050,AD58&lt;=Pregled!$B$7,AF58="Popunjeno",AG58="Evidentirano",OR(H58="Pilot",H58="Uslovno odobreno",H58="Odobreno")),COUNT($AH$7:AH57)+1,"")</f>
        <v/>
      </c>
    </row>
    <row r="59" ht="54.0" customHeight="1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9"/>
      <c r="W59" s="39"/>
      <c r="X59" s="37"/>
      <c r="Y59" s="37"/>
      <c r="Z59" s="37"/>
      <c r="AA59" s="37"/>
      <c r="AB59" s="37"/>
      <c r="AC59" s="37"/>
      <c r="AD59" s="39"/>
      <c r="AE59" s="46" t="str">
        <f>IF(COUNTA(A59:AD59)=0,"",IF(OR(H59="Povučeno",H59="Odbijeno",H59="Obustavljeno"),"Nije aktivno",IF(W59="","Nije određen",IF(OR(NOT(ISNUMBER(W59)),W59&lt;36526,W59&gt;73050),"Proveriti datum",IF(W59&lt;Pregled!$B$7,"Kasni",IF(W59&lt;=Pregled!$B$7+Pregled!$F$7,"Uskoro","U roku"))))))</f>
        <v/>
      </c>
      <c r="AF59" s="46" t="str">
        <f>IF(COUNTA(A59:AD59)=0,"",IF(A59="","Nedostaje ID",IF(COUNTIFS($A$8:$A$207,A59)&gt;1,"Duplikat ID",IF(OR(B59="",E59="",G59="",COUNTIF(Liste!$B$7:$B$13,H59)=0),"Dopuniti osnovno","Popunjeno"))))</f>
        <v/>
      </c>
      <c r="AG59" s="46" t="str">
        <f>IF(COUNTA(A59:AD59)=0,"",IF(NOT(OR(H59="Pilot",H59="Uslovno odobreno",H59="Odobreno")),"Nije aktivna odluka",IF(OR(K59="",N59="",O59="",P59="",Q59="",R59="",S59="",T59="",U59="",V59="",W59="",X59=""),"Dopuniti evidenciju",IF(OR(NOT(ISNUMBER(V59)),NOT(ISNUMBER(W59))),"Proveriti datume",IF(OR(V59&lt;36526,V59&gt;73050,W59&lt;36526,W59&gt;73050,V59&gt;Pregled!$B$7,W59&lt;V59),"Proveriti datume","Evidentirano")))))</f>
        <v/>
      </c>
      <c r="AH59" s="47" t="str">
        <f>IF(AND(Z59="Da",AA59&lt;&gt;"",AB59&lt;&gt;"",AC59&lt;&gt;"",ISNUMBER(AD59),AD59&gt;=36526,AD59&lt;=73050,AD59&lt;=Pregled!$B$7,AF59="Popunjeno",AG59="Evidentirano",OR(H59="Pilot",H59="Uslovno odobreno",H59="Odobreno")),COUNT($AH$7:AH58)+1,"")</f>
        <v/>
      </c>
    </row>
    <row r="60" ht="54.0" customHeight="1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9"/>
      <c r="W60" s="39"/>
      <c r="X60" s="37"/>
      <c r="Y60" s="37"/>
      <c r="Z60" s="37"/>
      <c r="AA60" s="37"/>
      <c r="AB60" s="37"/>
      <c r="AC60" s="37"/>
      <c r="AD60" s="39"/>
      <c r="AE60" s="46" t="str">
        <f>IF(COUNTA(A60:AD60)=0,"",IF(OR(H60="Povučeno",H60="Odbijeno",H60="Obustavljeno"),"Nije aktivno",IF(W60="","Nije određen",IF(OR(NOT(ISNUMBER(W60)),W60&lt;36526,W60&gt;73050),"Proveriti datum",IF(W60&lt;Pregled!$B$7,"Kasni",IF(W60&lt;=Pregled!$B$7+Pregled!$F$7,"Uskoro","U roku"))))))</f>
        <v/>
      </c>
      <c r="AF60" s="46" t="str">
        <f>IF(COUNTA(A60:AD60)=0,"",IF(A60="","Nedostaje ID",IF(COUNTIFS($A$8:$A$207,A60)&gt;1,"Duplikat ID",IF(OR(B60="",E60="",G60="",COUNTIF(Liste!$B$7:$B$13,H60)=0),"Dopuniti osnovno","Popunjeno"))))</f>
        <v/>
      </c>
      <c r="AG60" s="46" t="str">
        <f>IF(COUNTA(A60:AD60)=0,"",IF(NOT(OR(H60="Pilot",H60="Uslovno odobreno",H60="Odobreno")),"Nije aktivna odluka",IF(OR(K60="",N60="",O60="",P60="",Q60="",R60="",S60="",T60="",U60="",V60="",W60="",X60=""),"Dopuniti evidenciju",IF(OR(NOT(ISNUMBER(V60)),NOT(ISNUMBER(W60))),"Proveriti datume",IF(OR(V60&lt;36526,V60&gt;73050,W60&lt;36526,W60&gt;73050,V60&gt;Pregled!$B$7,W60&lt;V60),"Proveriti datume","Evidentirano")))))</f>
        <v/>
      </c>
      <c r="AH60" s="47" t="str">
        <f>IF(AND(Z60="Da",AA60&lt;&gt;"",AB60&lt;&gt;"",AC60&lt;&gt;"",ISNUMBER(AD60),AD60&gt;=36526,AD60&lt;=73050,AD60&lt;=Pregled!$B$7,AF60="Popunjeno",AG60="Evidentirano",OR(H60="Pilot",H60="Uslovno odobreno",H60="Odobreno")),COUNT($AH$7:AH59)+1,"")</f>
        <v/>
      </c>
    </row>
    <row r="61" ht="54.0" customHeight="1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9"/>
      <c r="W61" s="39"/>
      <c r="X61" s="37"/>
      <c r="Y61" s="37"/>
      <c r="Z61" s="37"/>
      <c r="AA61" s="37"/>
      <c r="AB61" s="37"/>
      <c r="AC61" s="37"/>
      <c r="AD61" s="39"/>
      <c r="AE61" s="46" t="str">
        <f>IF(COUNTA(A61:AD61)=0,"",IF(OR(H61="Povučeno",H61="Odbijeno",H61="Obustavljeno"),"Nije aktivno",IF(W61="","Nije određen",IF(OR(NOT(ISNUMBER(W61)),W61&lt;36526,W61&gt;73050),"Proveriti datum",IF(W61&lt;Pregled!$B$7,"Kasni",IF(W61&lt;=Pregled!$B$7+Pregled!$F$7,"Uskoro","U roku"))))))</f>
        <v/>
      </c>
      <c r="AF61" s="46" t="str">
        <f>IF(COUNTA(A61:AD61)=0,"",IF(A61="","Nedostaje ID",IF(COUNTIFS($A$8:$A$207,A61)&gt;1,"Duplikat ID",IF(OR(B61="",E61="",G61="",COUNTIF(Liste!$B$7:$B$13,H61)=0),"Dopuniti osnovno","Popunjeno"))))</f>
        <v/>
      </c>
      <c r="AG61" s="46" t="str">
        <f>IF(COUNTA(A61:AD61)=0,"",IF(NOT(OR(H61="Pilot",H61="Uslovno odobreno",H61="Odobreno")),"Nije aktivna odluka",IF(OR(K61="",N61="",O61="",P61="",Q61="",R61="",S61="",T61="",U61="",V61="",W61="",X61=""),"Dopuniti evidenciju",IF(OR(NOT(ISNUMBER(V61)),NOT(ISNUMBER(W61))),"Proveriti datume",IF(OR(V61&lt;36526,V61&gt;73050,W61&lt;36526,W61&gt;73050,V61&gt;Pregled!$B$7,W61&lt;V61),"Proveriti datume","Evidentirano")))))</f>
        <v/>
      </c>
      <c r="AH61" s="47" t="str">
        <f>IF(AND(Z61="Da",AA61&lt;&gt;"",AB61&lt;&gt;"",AC61&lt;&gt;"",ISNUMBER(AD61),AD61&gt;=36526,AD61&lt;=73050,AD61&lt;=Pregled!$B$7,AF61="Popunjeno",AG61="Evidentirano",OR(H61="Pilot",H61="Uslovno odobreno",H61="Odobreno")),COUNT($AH$7:AH60)+1,"")</f>
        <v/>
      </c>
    </row>
    <row r="62" ht="54.0" customHeight="1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9"/>
      <c r="W62" s="39"/>
      <c r="X62" s="37"/>
      <c r="Y62" s="37"/>
      <c r="Z62" s="37"/>
      <c r="AA62" s="37"/>
      <c r="AB62" s="37"/>
      <c r="AC62" s="37"/>
      <c r="AD62" s="39"/>
      <c r="AE62" s="46" t="str">
        <f>IF(COUNTA(A62:AD62)=0,"",IF(OR(H62="Povučeno",H62="Odbijeno",H62="Obustavljeno"),"Nije aktivno",IF(W62="","Nije određen",IF(OR(NOT(ISNUMBER(W62)),W62&lt;36526,W62&gt;73050),"Proveriti datum",IF(W62&lt;Pregled!$B$7,"Kasni",IF(W62&lt;=Pregled!$B$7+Pregled!$F$7,"Uskoro","U roku"))))))</f>
        <v/>
      </c>
      <c r="AF62" s="46" t="str">
        <f>IF(COUNTA(A62:AD62)=0,"",IF(A62="","Nedostaje ID",IF(COUNTIFS($A$8:$A$207,A62)&gt;1,"Duplikat ID",IF(OR(B62="",E62="",G62="",COUNTIF(Liste!$B$7:$B$13,H62)=0),"Dopuniti osnovno","Popunjeno"))))</f>
        <v/>
      </c>
      <c r="AG62" s="46" t="str">
        <f>IF(COUNTA(A62:AD62)=0,"",IF(NOT(OR(H62="Pilot",H62="Uslovno odobreno",H62="Odobreno")),"Nije aktivna odluka",IF(OR(K62="",N62="",O62="",P62="",Q62="",R62="",S62="",T62="",U62="",V62="",W62="",X62=""),"Dopuniti evidenciju",IF(OR(NOT(ISNUMBER(V62)),NOT(ISNUMBER(W62))),"Proveriti datume",IF(OR(V62&lt;36526,V62&gt;73050,W62&lt;36526,W62&gt;73050,V62&gt;Pregled!$B$7,W62&lt;V62),"Proveriti datume","Evidentirano")))))</f>
        <v/>
      </c>
      <c r="AH62" s="47" t="str">
        <f>IF(AND(Z62="Da",AA62&lt;&gt;"",AB62&lt;&gt;"",AC62&lt;&gt;"",ISNUMBER(AD62),AD62&gt;=36526,AD62&lt;=73050,AD62&lt;=Pregled!$B$7,AF62="Popunjeno",AG62="Evidentirano",OR(H62="Pilot",H62="Uslovno odobreno",H62="Odobreno")),COUNT($AH$7:AH61)+1,"")</f>
        <v/>
      </c>
    </row>
    <row r="63" ht="54.0" customHeight="1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9"/>
      <c r="W63" s="39"/>
      <c r="X63" s="37"/>
      <c r="Y63" s="37"/>
      <c r="Z63" s="37"/>
      <c r="AA63" s="37"/>
      <c r="AB63" s="37"/>
      <c r="AC63" s="37"/>
      <c r="AD63" s="39"/>
      <c r="AE63" s="46" t="str">
        <f>IF(COUNTA(A63:AD63)=0,"",IF(OR(H63="Povučeno",H63="Odbijeno",H63="Obustavljeno"),"Nije aktivno",IF(W63="","Nije određen",IF(OR(NOT(ISNUMBER(W63)),W63&lt;36526,W63&gt;73050),"Proveriti datum",IF(W63&lt;Pregled!$B$7,"Kasni",IF(W63&lt;=Pregled!$B$7+Pregled!$F$7,"Uskoro","U roku"))))))</f>
        <v/>
      </c>
      <c r="AF63" s="46" t="str">
        <f>IF(COUNTA(A63:AD63)=0,"",IF(A63="","Nedostaje ID",IF(COUNTIFS($A$8:$A$207,A63)&gt;1,"Duplikat ID",IF(OR(B63="",E63="",G63="",COUNTIF(Liste!$B$7:$B$13,H63)=0),"Dopuniti osnovno","Popunjeno"))))</f>
        <v/>
      </c>
      <c r="AG63" s="46" t="str">
        <f>IF(COUNTA(A63:AD63)=0,"",IF(NOT(OR(H63="Pilot",H63="Uslovno odobreno",H63="Odobreno")),"Nije aktivna odluka",IF(OR(K63="",N63="",O63="",P63="",Q63="",R63="",S63="",T63="",U63="",V63="",W63="",X63=""),"Dopuniti evidenciju",IF(OR(NOT(ISNUMBER(V63)),NOT(ISNUMBER(W63))),"Proveriti datume",IF(OR(V63&lt;36526,V63&gt;73050,W63&lt;36526,W63&gt;73050,V63&gt;Pregled!$B$7,W63&lt;V63),"Proveriti datume","Evidentirano")))))</f>
        <v/>
      </c>
      <c r="AH63" s="47" t="str">
        <f>IF(AND(Z63="Da",AA63&lt;&gt;"",AB63&lt;&gt;"",AC63&lt;&gt;"",ISNUMBER(AD63),AD63&gt;=36526,AD63&lt;=73050,AD63&lt;=Pregled!$B$7,AF63="Popunjeno",AG63="Evidentirano",OR(H63="Pilot",H63="Uslovno odobreno",H63="Odobreno")),COUNT($AH$7:AH62)+1,"")</f>
        <v/>
      </c>
    </row>
    <row r="64" ht="54.0" customHeight="1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9"/>
      <c r="W64" s="39"/>
      <c r="X64" s="37"/>
      <c r="Y64" s="37"/>
      <c r="Z64" s="37"/>
      <c r="AA64" s="37"/>
      <c r="AB64" s="37"/>
      <c r="AC64" s="37"/>
      <c r="AD64" s="39"/>
      <c r="AE64" s="46" t="str">
        <f>IF(COUNTA(A64:AD64)=0,"",IF(OR(H64="Povučeno",H64="Odbijeno",H64="Obustavljeno"),"Nije aktivno",IF(W64="","Nije određen",IF(OR(NOT(ISNUMBER(W64)),W64&lt;36526,W64&gt;73050),"Proveriti datum",IF(W64&lt;Pregled!$B$7,"Kasni",IF(W64&lt;=Pregled!$B$7+Pregled!$F$7,"Uskoro","U roku"))))))</f>
        <v/>
      </c>
      <c r="AF64" s="46" t="str">
        <f>IF(COUNTA(A64:AD64)=0,"",IF(A64="","Nedostaje ID",IF(COUNTIFS($A$8:$A$207,A64)&gt;1,"Duplikat ID",IF(OR(B64="",E64="",G64="",COUNTIF(Liste!$B$7:$B$13,H64)=0),"Dopuniti osnovno","Popunjeno"))))</f>
        <v/>
      </c>
      <c r="AG64" s="46" t="str">
        <f>IF(COUNTA(A64:AD64)=0,"",IF(NOT(OR(H64="Pilot",H64="Uslovno odobreno",H64="Odobreno")),"Nije aktivna odluka",IF(OR(K64="",N64="",O64="",P64="",Q64="",R64="",S64="",T64="",U64="",V64="",W64="",X64=""),"Dopuniti evidenciju",IF(OR(NOT(ISNUMBER(V64)),NOT(ISNUMBER(W64))),"Proveriti datume",IF(OR(V64&lt;36526,V64&gt;73050,W64&lt;36526,W64&gt;73050,V64&gt;Pregled!$B$7,W64&lt;V64),"Proveriti datume","Evidentirano")))))</f>
        <v/>
      </c>
      <c r="AH64" s="47" t="str">
        <f>IF(AND(Z64="Da",AA64&lt;&gt;"",AB64&lt;&gt;"",AC64&lt;&gt;"",ISNUMBER(AD64),AD64&gt;=36526,AD64&lt;=73050,AD64&lt;=Pregled!$B$7,AF64="Popunjeno",AG64="Evidentirano",OR(H64="Pilot",H64="Uslovno odobreno",H64="Odobreno")),COUNT($AH$7:AH63)+1,"")</f>
        <v/>
      </c>
    </row>
    <row r="65" ht="54.0" customHeight="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9"/>
      <c r="W65" s="39"/>
      <c r="X65" s="37"/>
      <c r="Y65" s="37"/>
      <c r="Z65" s="37"/>
      <c r="AA65" s="37"/>
      <c r="AB65" s="37"/>
      <c r="AC65" s="37"/>
      <c r="AD65" s="39"/>
      <c r="AE65" s="46" t="str">
        <f>IF(COUNTA(A65:AD65)=0,"",IF(OR(H65="Povučeno",H65="Odbijeno",H65="Obustavljeno"),"Nije aktivno",IF(W65="","Nije određen",IF(OR(NOT(ISNUMBER(W65)),W65&lt;36526,W65&gt;73050),"Proveriti datum",IF(W65&lt;Pregled!$B$7,"Kasni",IF(W65&lt;=Pregled!$B$7+Pregled!$F$7,"Uskoro","U roku"))))))</f>
        <v/>
      </c>
      <c r="AF65" s="46" t="str">
        <f>IF(COUNTA(A65:AD65)=0,"",IF(A65="","Nedostaje ID",IF(COUNTIFS($A$8:$A$207,A65)&gt;1,"Duplikat ID",IF(OR(B65="",E65="",G65="",COUNTIF(Liste!$B$7:$B$13,H65)=0),"Dopuniti osnovno","Popunjeno"))))</f>
        <v/>
      </c>
      <c r="AG65" s="46" t="str">
        <f>IF(COUNTA(A65:AD65)=0,"",IF(NOT(OR(H65="Pilot",H65="Uslovno odobreno",H65="Odobreno")),"Nije aktivna odluka",IF(OR(K65="",N65="",O65="",P65="",Q65="",R65="",S65="",T65="",U65="",V65="",W65="",X65=""),"Dopuniti evidenciju",IF(OR(NOT(ISNUMBER(V65)),NOT(ISNUMBER(W65))),"Proveriti datume",IF(OR(V65&lt;36526,V65&gt;73050,W65&lt;36526,W65&gt;73050,V65&gt;Pregled!$B$7,W65&lt;V65),"Proveriti datume","Evidentirano")))))</f>
        <v/>
      </c>
      <c r="AH65" s="47" t="str">
        <f>IF(AND(Z65="Da",AA65&lt;&gt;"",AB65&lt;&gt;"",AC65&lt;&gt;"",ISNUMBER(AD65),AD65&gt;=36526,AD65&lt;=73050,AD65&lt;=Pregled!$B$7,AF65="Popunjeno",AG65="Evidentirano",OR(H65="Pilot",H65="Uslovno odobreno",H65="Odobreno")),COUNT($AH$7:AH64)+1,"")</f>
        <v/>
      </c>
    </row>
    <row r="66" ht="54.0" customHeight="1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9"/>
      <c r="W66" s="39"/>
      <c r="X66" s="37"/>
      <c r="Y66" s="37"/>
      <c r="Z66" s="37"/>
      <c r="AA66" s="37"/>
      <c r="AB66" s="37"/>
      <c r="AC66" s="37"/>
      <c r="AD66" s="39"/>
      <c r="AE66" s="46" t="str">
        <f>IF(COUNTA(A66:AD66)=0,"",IF(OR(H66="Povučeno",H66="Odbijeno",H66="Obustavljeno"),"Nije aktivno",IF(W66="","Nije određen",IF(OR(NOT(ISNUMBER(W66)),W66&lt;36526,W66&gt;73050),"Proveriti datum",IF(W66&lt;Pregled!$B$7,"Kasni",IF(W66&lt;=Pregled!$B$7+Pregled!$F$7,"Uskoro","U roku"))))))</f>
        <v/>
      </c>
      <c r="AF66" s="46" t="str">
        <f>IF(COUNTA(A66:AD66)=0,"",IF(A66="","Nedostaje ID",IF(COUNTIFS($A$8:$A$207,A66)&gt;1,"Duplikat ID",IF(OR(B66="",E66="",G66="",COUNTIF(Liste!$B$7:$B$13,H66)=0),"Dopuniti osnovno","Popunjeno"))))</f>
        <v/>
      </c>
      <c r="AG66" s="46" t="str">
        <f>IF(COUNTA(A66:AD66)=0,"",IF(NOT(OR(H66="Pilot",H66="Uslovno odobreno",H66="Odobreno")),"Nije aktivna odluka",IF(OR(K66="",N66="",O66="",P66="",Q66="",R66="",S66="",T66="",U66="",V66="",W66="",X66=""),"Dopuniti evidenciju",IF(OR(NOT(ISNUMBER(V66)),NOT(ISNUMBER(W66))),"Proveriti datume",IF(OR(V66&lt;36526,V66&gt;73050,W66&lt;36526,W66&gt;73050,V66&gt;Pregled!$B$7,W66&lt;V66),"Proveriti datume","Evidentirano")))))</f>
        <v/>
      </c>
      <c r="AH66" s="47" t="str">
        <f>IF(AND(Z66="Da",AA66&lt;&gt;"",AB66&lt;&gt;"",AC66&lt;&gt;"",ISNUMBER(AD66),AD66&gt;=36526,AD66&lt;=73050,AD66&lt;=Pregled!$B$7,AF66="Popunjeno",AG66="Evidentirano",OR(H66="Pilot",H66="Uslovno odobreno",H66="Odobreno")),COUNT($AH$7:AH65)+1,"")</f>
        <v/>
      </c>
    </row>
    <row r="67" ht="54.0" customHeight="1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9"/>
      <c r="W67" s="39"/>
      <c r="X67" s="37"/>
      <c r="Y67" s="37"/>
      <c r="Z67" s="37"/>
      <c r="AA67" s="37"/>
      <c r="AB67" s="37"/>
      <c r="AC67" s="37"/>
      <c r="AD67" s="39"/>
      <c r="AE67" s="46" t="str">
        <f>IF(COUNTA(A67:AD67)=0,"",IF(OR(H67="Povučeno",H67="Odbijeno",H67="Obustavljeno"),"Nije aktivno",IF(W67="","Nije određen",IF(OR(NOT(ISNUMBER(W67)),W67&lt;36526,W67&gt;73050),"Proveriti datum",IF(W67&lt;Pregled!$B$7,"Kasni",IF(W67&lt;=Pregled!$B$7+Pregled!$F$7,"Uskoro","U roku"))))))</f>
        <v/>
      </c>
      <c r="AF67" s="46" t="str">
        <f>IF(COUNTA(A67:AD67)=0,"",IF(A67="","Nedostaje ID",IF(COUNTIFS($A$8:$A$207,A67)&gt;1,"Duplikat ID",IF(OR(B67="",E67="",G67="",COUNTIF(Liste!$B$7:$B$13,H67)=0),"Dopuniti osnovno","Popunjeno"))))</f>
        <v/>
      </c>
      <c r="AG67" s="46" t="str">
        <f>IF(COUNTA(A67:AD67)=0,"",IF(NOT(OR(H67="Pilot",H67="Uslovno odobreno",H67="Odobreno")),"Nije aktivna odluka",IF(OR(K67="",N67="",O67="",P67="",Q67="",R67="",S67="",T67="",U67="",V67="",W67="",X67=""),"Dopuniti evidenciju",IF(OR(NOT(ISNUMBER(V67)),NOT(ISNUMBER(W67))),"Proveriti datume",IF(OR(V67&lt;36526,V67&gt;73050,W67&lt;36526,W67&gt;73050,V67&gt;Pregled!$B$7,W67&lt;V67),"Proveriti datume","Evidentirano")))))</f>
        <v/>
      </c>
      <c r="AH67" s="47" t="str">
        <f>IF(AND(Z67="Da",AA67&lt;&gt;"",AB67&lt;&gt;"",AC67&lt;&gt;"",ISNUMBER(AD67),AD67&gt;=36526,AD67&lt;=73050,AD67&lt;=Pregled!$B$7,AF67="Popunjeno",AG67="Evidentirano",OR(H67="Pilot",H67="Uslovno odobreno",H67="Odobreno")),COUNT($AH$7:AH66)+1,"")</f>
        <v/>
      </c>
    </row>
    <row r="68" ht="54.0" customHeight="1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9"/>
      <c r="W68" s="39"/>
      <c r="X68" s="37"/>
      <c r="Y68" s="37"/>
      <c r="Z68" s="37"/>
      <c r="AA68" s="37"/>
      <c r="AB68" s="37"/>
      <c r="AC68" s="37"/>
      <c r="AD68" s="39"/>
      <c r="AE68" s="46" t="str">
        <f>IF(COUNTA(A68:AD68)=0,"",IF(OR(H68="Povučeno",H68="Odbijeno",H68="Obustavljeno"),"Nije aktivno",IF(W68="","Nije određen",IF(OR(NOT(ISNUMBER(W68)),W68&lt;36526,W68&gt;73050),"Proveriti datum",IF(W68&lt;Pregled!$B$7,"Kasni",IF(W68&lt;=Pregled!$B$7+Pregled!$F$7,"Uskoro","U roku"))))))</f>
        <v/>
      </c>
      <c r="AF68" s="46" t="str">
        <f>IF(COUNTA(A68:AD68)=0,"",IF(A68="","Nedostaje ID",IF(COUNTIFS($A$8:$A$207,A68)&gt;1,"Duplikat ID",IF(OR(B68="",E68="",G68="",COUNTIF(Liste!$B$7:$B$13,H68)=0),"Dopuniti osnovno","Popunjeno"))))</f>
        <v/>
      </c>
      <c r="AG68" s="46" t="str">
        <f>IF(COUNTA(A68:AD68)=0,"",IF(NOT(OR(H68="Pilot",H68="Uslovno odobreno",H68="Odobreno")),"Nije aktivna odluka",IF(OR(K68="",N68="",O68="",P68="",Q68="",R68="",S68="",T68="",U68="",V68="",W68="",X68=""),"Dopuniti evidenciju",IF(OR(NOT(ISNUMBER(V68)),NOT(ISNUMBER(W68))),"Proveriti datume",IF(OR(V68&lt;36526,V68&gt;73050,W68&lt;36526,W68&gt;73050,V68&gt;Pregled!$B$7,W68&lt;V68),"Proveriti datume","Evidentirano")))))</f>
        <v/>
      </c>
      <c r="AH68" s="47" t="str">
        <f>IF(AND(Z68="Da",AA68&lt;&gt;"",AB68&lt;&gt;"",AC68&lt;&gt;"",ISNUMBER(AD68),AD68&gt;=36526,AD68&lt;=73050,AD68&lt;=Pregled!$B$7,AF68="Popunjeno",AG68="Evidentirano",OR(H68="Pilot",H68="Uslovno odobreno",H68="Odobreno")),COUNT($AH$7:AH67)+1,"")</f>
        <v/>
      </c>
    </row>
    <row r="69" ht="54.0" customHeight="1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9"/>
      <c r="W69" s="39"/>
      <c r="X69" s="37"/>
      <c r="Y69" s="37"/>
      <c r="Z69" s="37"/>
      <c r="AA69" s="37"/>
      <c r="AB69" s="37"/>
      <c r="AC69" s="37"/>
      <c r="AD69" s="39"/>
      <c r="AE69" s="46" t="str">
        <f>IF(COUNTA(A69:AD69)=0,"",IF(OR(H69="Povučeno",H69="Odbijeno",H69="Obustavljeno"),"Nije aktivno",IF(W69="","Nije određen",IF(OR(NOT(ISNUMBER(W69)),W69&lt;36526,W69&gt;73050),"Proveriti datum",IF(W69&lt;Pregled!$B$7,"Kasni",IF(W69&lt;=Pregled!$B$7+Pregled!$F$7,"Uskoro","U roku"))))))</f>
        <v/>
      </c>
      <c r="AF69" s="46" t="str">
        <f>IF(COUNTA(A69:AD69)=0,"",IF(A69="","Nedostaje ID",IF(COUNTIFS($A$8:$A$207,A69)&gt;1,"Duplikat ID",IF(OR(B69="",E69="",G69="",COUNTIF(Liste!$B$7:$B$13,H69)=0),"Dopuniti osnovno","Popunjeno"))))</f>
        <v/>
      </c>
      <c r="AG69" s="46" t="str">
        <f>IF(COUNTA(A69:AD69)=0,"",IF(NOT(OR(H69="Pilot",H69="Uslovno odobreno",H69="Odobreno")),"Nije aktivna odluka",IF(OR(K69="",N69="",O69="",P69="",Q69="",R69="",S69="",T69="",U69="",V69="",W69="",X69=""),"Dopuniti evidenciju",IF(OR(NOT(ISNUMBER(V69)),NOT(ISNUMBER(W69))),"Proveriti datume",IF(OR(V69&lt;36526,V69&gt;73050,W69&lt;36526,W69&gt;73050,V69&gt;Pregled!$B$7,W69&lt;V69),"Proveriti datume","Evidentirano")))))</f>
        <v/>
      </c>
      <c r="AH69" s="47" t="str">
        <f>IF(AND(Z69="Da",AA69&lt;&gt;"",AB69&lt;&gt;"",AC69&lt;&gt;"",ISNUMBER(AD69),AD69&gt;=36526,AD69&lt;=73050,AD69&lt;=Pregled!$B$7,AF69="Popunjeno",AG69="Evidentirano",OR(H69="Pilot",H69="Uslovno odobreno",H69="Odobreno")),COUNT($AH$7:AH68)+1,"")</f>
        <v/>
      </c>
    </row>
    <row r="70" ht="54.0" customHeight="1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9"/>
      <c r="W70" s="39"/>
      <c r="X70" s="37"/>
      <c r="Y70" s="37"/>
      <c r="Z70" s="37"/>
      <c r="AA70" s="37"/>
      <c r="AB70" s="37"/>
      <c r="AC70" s="37"/>
      <c r="AD70" s="39"/>
      <c r="AE70" s="46" t="str">
        <f>IF(COUNTA(A70:AD70)=0,"",IF(OR(H70="Povučeno",H70="Odbijeno",H70="Obustavljeno"),"Nije aktivno",IF(W70="","Nije određen",IF(OR(NOT(ISNUMBER(W70)),W70&lt;36526,W70&gt;73050),"Proveriti datum",IF(W70&lt;Pregled!$B$7,"Kasni",IF(W70&lt;=Pregled!$B$7+Pregled!$F$7,"Uskoro","U roku"))))))</f>
        <v/>
      </c>
      <c r="AF70" s="46" t="str">
        <f>IF(COUNTA(A70:AD70)=0,"",IF(A70="","Nedostaje ID",IF(COUNTIFS($A$8:$A$207,A70)&gt;1,"Duplikat ID",IF(OR(B70="",E70="",G70="",COUNTIF(Liste!$B$7:$B$13,H70)=0),"Dopuniti osnovno","Popunjeno"))))</f>
        <v/>
      </c>
      <c r="AG70" s="46" t="str">
        <f>IF(COUNTA(A70:AD70)=0,"",IF(NOT(OR(H70="Pilot",H70="Uslovno odobreno",H70="Odobreno")),"Nije aktivna odluka",IF(OR(K70="",N70="",O70="",P70="",Q70="",R70="",S70="",T70="",U70="",V70="",W70="",X70=""),"Dopuniti evidenciju",IF(OR(NOT(ISNUMBER(V70)),NOT(ISNUMBER(W70))),"Proveriti datume",IF(OR(V70&lt;36526,V70&gt;73050,W70&lt;36526,W70&gt;73050,V70&gt;Pregled!$B$7,W70&lt;V70),"Proveriti datume","Evidentirano")))))</f>
        <v/>
      </c>
      <c r="AH70" s="47" t="str">
        <f>IF(AND(Z70="Da",AA70&lt;&gt;"",AB70&lt;&gt;"",AC70&lt;&gt;"",ISNUMBER(AD70),AD70&gt;=36526,AD70&lt;=73050,AD70&lt;=Pregled!$B$7,AF70="Popunjeno",AG70="Evidentirano",OR(H70="Pilot",H70="Uslovno odobreno",H70="Odobreno")),COUNT($AH$7:AH69)+1,"")</f>
        <v/>
      </c>
    </row>
    <row r="71" ht="54.0" customHeight="1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9"/>
      <c r="W71" s="39"/>
      <c r="X71" s="37"/>
      <c r="Y71" s="37"/>
      <c r="Z71" s="37"/>
      <c r="AA71" s="37"/>
      <c r="AB71" s="37"/>
      <c r="AC71" s="37"/>
      <c r="AD71" s="39"/>
      <c r="AE71" s="46" t="str">
        <f>IF(COUNTA(A71:AD71)=0,"",IF(OR(H71="Povučeno",H71="Odbijeno",H71="Obustavljeno"),"Nije aktivno",IF(W71="","Nije određen",IF(OR(NOT(ISNUMBER(W71)),W71&lt;36526,W71&gt;73050),"Proveriti datum",IF(W71&lt;Pregled!$B$7,"Kasni",IF(W71&lt;=Pregled!$B$7+Pregled!$F$7,"Uskoro","U roku"))))))</f>
        <v/>
      </c>
      <c r="AF71" s="46" t="str">
        <f>IF(COUNTA(A71:AD71)=0,"",IF(A71="","Nedostaje ID",IF(COUNTIFS($A$8:$A$207,A71)&gt;1,"Duplikat ID",IF(OR(B71="",E71="",G71="",COUNTIF(Liste!$B$7:$B$13,H71)=0),"Dopuniti osnovno","Popunjeno"))))</f>
        <v/>
      </c>
      <c r="AG71" s="46" t="str">
        <f>IF(COUNTA(A71:AD71)=0,"",IF(NOT(OR(H71="Pilot",H71="Uslovno odobreno",H71="Odobreno")),"Nije aktivna odluka",IF(OR(K71="",N71="",O71="",P71="",Q71="",R71="",S71="",T71="",U71="",V71="",W71="",X71=""),"Dopuniti evidenciju",IF(OR(NOT(ISNUMBER(V71)),NOT(ISNUMBER(W71))),"Proveriti datume",IF(OR(V71&lt;36526,V71&gt;73050,W71&lt;36526,W71&gt;73050,V71&gt;Pregled!$B$7,W71&lt;V71),"Proveriti datume","Evidentirano")))))</f>
        <v/>
      </c>
      <c r="AH71" s="47" t="str">
        <f>IF(AND(Z71="Da",AA71&lt;&gt;"",AB71&lt;&gt;"",AC71&lt;&gt;"",ISNUMBER(AD71),AD71&gt;=36526,AD71&lt;=73050,AD71&lt;=Pregled!$B$7,AF71="Popunjeno",AG71="Evidentirano",OR(H71="Pilot",H71="Uslovno odobreno",H71="Odobreno")),COUNT($AH$7:AH70)+1,"")</f>
        <v/>
      </c>
    </row>
    <row r="72" ht="54.0" customHeight="1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9"/>
      <c r="W72" s="39"/>
      <c r="X72" s="37"/>
      <c r="Y72" s="37"/>
      <c r="Z72" s="37"/>
      <c r="AA72" s="37"/>
      <c r="AB72" s="37"/>
      <c r="AC72" s="37"/>
      <c r="AD72" s="39"/>
      <c r="AE72" s="46" t="str">
        <f>IF(COUNTA(A72:AD72)=0,"",IF(OR(H72="Povučeno",H72="Odbijeno",H72="Obustavljeno"),"Nije aktivno",IF(W72="","Nije određen",IF(OR(NOT(ISNUMBER(W72)),W72&lt;36526,W72&gt;73050),"Proveriti datum",IF(W72&lt;Pregled!$B$7,"Kasni",IF(W72&lt;=Pregled!$B$7+Pregled!$F$7,"Uskoro","U roku"))))))</f>
        <v/>
      </c>
      <c r="AF72" s="46" t="str">
        <f>IF(COUNTA(A72:AD72)=0,"",IF(A72="","Nedostaje ID",IF(COUNTIFS($A$8:$A$207,A72)&gt;1,"Duplikat ID",IF(OR(B72="",E72="",G72="",COUNTIF(Liste!$B$7:$B$13,H72)=0),"Dopuniti osnovno","Popunjeno"))))</f>
        <v/>
      </c>
      <c r="AG72" s="46" t="str">
        <f>IF(COUNTA(A72:AD72)=0,"",IF(NOT(OR(H72="Pilot",H72="Uslovno odobreno",H72="Odobreno")),"Nije aktivna odluka",IF(OR(K72="",N72="",O72="",P72="",Q72="",R72="",S72="",T72="",U72="",V72="",W72="",X72=""),"Dopuniti evidenciju",IF(OR(NOT(ISNUMBER(V72)),NOT(ISNUMBER(W72))),"Proveriti datume",IF(OR(V72&lt;36526,V72&gt;73050,W72&lt;36526,W72&gt;73050,V72&gt;Pregled!$B$7,W72&lt;V72),"Proveriti datume","Evidentirano")))))</f>
        <v/>
      </c>
      <c r="AH72" s="47" t="str">
        <f>IF(AND(Z72="Da",AA72&lt;&gt;"",AB72&lt;&gt;"",AC72&lt;&gt;"",ISNUMBER(AD72),AD72&gt;=36526,AD72&lt;=73050,AD72&lt;=Pregled!$B$7,AF72="Popunjeno",AG72="Evidentirano",OR(H72="Pilot",H72="Uslovno odobreno",H72="Odobreno")),COUNT($AH$7:AH71)+1,"")</f>
        <v/>
      </c>
    </row>
    <row r="73" ht="54.0" customHeight="1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9"/>
      <c r="W73" s="39"/>
      <c r="X73" s="37"/>
      <c r="Y73" s="37"/>
      <c r="Z73" s="37"/>
      <c r="AA73" s="37"/>
      <c r="AB73" s="37"/>
      <c r="AC73" s="37"/>
      <c r="AD73" s="39"/>
      <c r="AE73" s="46" t="str">
        <f>IF(COUNTA(A73:AD73)=0,"",IF(OR(H73="Povučeno",H73="Odbijeno",H73="Obustavljeno"),"Nije aktivno",IF(W73="","Nije određen",IF(OR(NOT(ISNUMBER(W73)),W73&lt;36526,W73&gt;73050),"Proveriti datum",IF(W73&lt;Pregled!$B$7,"Kasni",IF(W73&lt;=Pregled!$B$7+Pregled!$F$7,"Uskoro","U roku"))))))</f>
        <v/>
      </c>
      <c r="AF73" s="46" t="str">
        <f>IF(COUNTA(A73:AD73)=0,"",IF(A73="","Nedostaje ID",IF(COUNTIFS($A$8:$A$207,A73)&gt;1,"Duplikat ID",IF(OR(B73="",E73="",G73="",COUNTIF(Liste!$B$7:$B$13,H73)=0),"Dopuniti osnovno","Popunjeno"))))</f>
        <v/>
      </c>
      <c r="AG73" s="46" t="str">
        <f>IF(COUNTA(A73:AD73)=0,"",IF(NOT(OR(H73="Pilot",H73="Uslovno odobreno",H73="Odobreno")),"Nije aktivna odluka",IF(OR(K73="",N73="",O73="",P73="",Q73="",R73="",S73="",T73="",U73="",V73="",W73="",X73=""),"Dopuniti evidenciju",IF(OR(NOT(ISNUMBER(V73)),NOT(ISNUMBER(W73))),"Proveriti datume",IF(OR(V73&lt;36526,V73&gt;73050,W73&lt;36526,W73&gt;73050,V73&gt;Pregled!$B$7,W73&lt;V73),"Proveriti datume","Evidentirano")))))</f>
        <v/>
      </c>
      <c r="AH73" s="47" t="str">
        <f>IF(AND(Z73="Da",AA73&lt;&gt;"",AB73&lt;&gt;"",AC73&lt;&gt;"",ISNUMBER(AD73),AD73&gt;=36526,AD73&lt;=73050,AD73&lt;=Pregled!$B$7,AF73="Popunjeno",AG73="Evidentirano",OR(H73="Pilot",H73="Uslovno odobreno",H73="Odobreno")),COUNT($AH$7:AH72)+1,"")</f>
        <v/>
      </c>
    </row>
    <row r="74" ht="54.0" customHeight="1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9"/>
      <c r="W74" s="39"/>
      <c r="X74" s="37"/>
      <c r="Y74" s="37"/>
      <c r="Z74" s="37"/>
      <c r="AA74" s="37"/>
      <c r="AB74" s="37"/>
      <c r="AC74" s="37"/>
      <c r="AD74" s="39"/>
      <c r="AE74" s="46" t="str">
        <f>IF(COUNTA(A74:AD74)=0,"",IF(OR(H74="Povučeno",H74="Odbijeno",H74="Obustavljeno"),"Nije aktivno",IF(W74="","Nije određen",IF(OR(NOT(ISNUMBER(W74)),W74&lt;36526,W74&gt;73050),"Proveriti datum",IF(W74&lt;Pregled!$B$7,"Kasni",IF(W74&lt;=Pregled!$B$7+Pregled!$F$7,"Uskoro","U roku"))))))</f>
        <v/>
      </c>
      <c r="AF74" s="46" t="str">
        <f>IF(COUNTA(A74:AD74)=0,"",IF(A74="","Nedostaje ID",IF(COUNTIFS($A$8:$A$207,A74)&gt;1,"Duplikat ID",IF(OR(B74="",E74="",G74="",COUNTIF(Liste!$B$7:$B$13,H74)=0),"Dopuniti osnovno","Popunjeno"))))</f>
        <v/>
      </c>
      <c r="AG74" s="46" t="str">
        <f>IF(COUNTA(A74:AD74)=0,"",IF(NOT(OR(H74="Pilot",H74="Uslovno odobreno",H74="Odobreno")),"Nije aktivna odluka",IF(OR(K74="",N74="",O74="",P74="",Q74="",R74="",S74="",T74="",U74="",V74="",W74="",X74=""),"Dopuniti evidenciju",IF(OR(NOT(ISNUMBER(V74)),NOT(ISNUMBER(W74))),"Proveriti datume",IF(OR(V74&lt;36526,V74&gt;73050,W74&lt;36526,W74&gt;73050,V74&gt;Pregled!$B$7,W74&lt;V74),"Proveriti datume","Evidentirano")))))</f>
        <v/>
      </c>
      <c r="AH74" s="47" t="str">
        <f>IF(AND(Z74="Da",AA74&lt;&gt;"",AB74&lt;&gt;"",AC74&lt;&gt;"",ISNUMBER(AD74),AD74&gt;=36526,AD74&lt;=73050,AD74&lt;=Pregled!$B$7,AF74="Popunjeno",AG74="Evidentirano",OR(H74="Pilot",H74="Uslovno odobreno",H74="Odobreno")),COUNT($AH$7:AH73)+1,"")</f>
        <v/>
      </c>
    </row>
    <row r="75" ht="54.0" customHeight="1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9"/>
      <c r="W75" s="39"/>
      <c r="X75" s="37"/>
      <c r="Y75" s="37"/>
      <c r="Z75" s="37"/>
      <c r="AA75" s="37"/>
      <c r="AB75" s="37"/>
      <c r="AC75" s="37"/>
      <c r="AD75" s="39"/>
      <c r="AE75" s="46" t="str">
        <f>IF(COUNTA(A75:AD75)=0,"",IF(OR(H75="Povučeno",H75="Odbijeno",H75="Obustavljeno"),"Nije aktivno",IF(W75="","Nije određen",IF(OR(NOT(ISNUMBER(W75)),W75&lt;36526,W75&gt;73050),"Proveriti datum",IF(W75&lt;Pregled!$B$7,"Kasni",IF(W75&lt;=Pregled!$B$7+Pregled!$F$7,"Uskoro","U roku"))))))</f>
        <v/>
      </c>
      <c r="AF75" s="46" t="str">
        <f>IF(COUNTA(A75:AD75)=0,"",IF(A75="","Nedostaje ID",IF(COUNTIFS($A$8:$A$207,A75)&gt;1,"Duplikat ID",IF(OR(B75="",E75="",G75="",COUNTIF(Liste!$B$7:$B$13,H75)=0),"Dopuniti osnovno","Popunjeno"))))</f>
        <v/>
      </c>
      <c r="AG75" s="46" t="str">
        <f>IF(COUNTA(A75:AD75)=0,"",IF(NOT(OR(H75="Pilot",H75="Uslovno odobreno",H75="Odobreno")),"Nije aktivna odluka",IF(OR(K75="",N75="",O75="",P75="",Q75="",R75="",S75="",T75="",U75="",V75="",W75="",X75=""),"Dopuniti evidenciju",IF(OR(NOT(ISNUMBER(V75)),NOT(ISNUMBER(W75))),"Proveriti datume",IF(OR(V75&lt;36526,V75&gt;73050,W75&lt;36526,W75&gt;73050,V75&gt;Pregled!$B$7,W75&lt;V75),"Proveriti datume","Evidentirano")))))</f>
        <v/>
      </c>
      <c r="AH75" s="47" t="str">
        <f>IF(AND(Z75="Da",AA75&lt;&gt;"",AB75&lt;&gt;"",AC75&lt;&gt;"",ISNUMBER(AD75),AD75&gt;=36526,AD75&lt;=73050,AD75&lt;=Pregled!$B$7,AF75="Popunjeno",AG75="Evidentirano",OR(H75="Pilot",H75="Uslovno odobreno",H75="Odobreno")),COUNT($AH$7:AH74)+1,"")</f>
        <v/>
      </c>
    </row>
    <row r="76" ht="54.0" customHeight="1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9"/>
      <c r="W76" s="39"/>
      <c r="X76" s="37"/>
      <c r="Y76" s="37"/>
      <c r="Z76" s="37"/>
      <c r="AA76" s="37"/>
      <c r="AB76" s="37"/>
      <c r="AC76" s="37"/>
      <c r="AD76" s="39"/>
      <c r="AE76" s="46" t="str">
        <f>IF(COUNTA(A76:AD76)=0,"",IF(OR(H76="Povučeno",H76="Odbijeno",H76="Obustavljeno"),"Nije aktivno",IF(W76="","Nije određen",IF(OR(NOT(ISNUMBER(W76)),W76&lt;36526,W76&gt;73050),"Proveriti datum",IF(W76&lt;Pregled!$B$7,"Kasni",IF(W76&lt;=Pregled!$B$7+Pregled!$F$7,"Uskoro","U roku"))))))</f>
        <v/>
      </c>
      <c r="AF76" s="46" t="str">
        <f>IF(COUNTA(A76:AD76)=0,"",IF(A76="","Nedostaje ID",IF(COUNTIFS($A$8:$A$207,A76)&gt;1,"Duplikat ID",IF(OR(B76="",E76="",G76="",COUNTIF(Liste!$B$7:$B$13,H76)=0),"Dopuniti osnovno","Popunjeno"))))</f>
        <v/>
      </c>
      <c r="AG76" s="46" t="str">
        <f>IF(COUNTA(A76:AD76)=0,"",IF(NOT(OR(H76="Pilot",H76="Uslovno odobreno",H76="Odobreno")),"Nije aktivna odluka",IF(OR(K76="",N76="",O76="",P76="",Q76="",R76="",S76="",T76="",U76="",V76="",W76="",X76=""),"Dopuniti evidenciju",IF(OR(NOT(ISNUMBER(V76)),NOT(ISNUMBER(W76))),"Proveriti datume",IF(OR(V76&lt;36526,V76&gt;73050,W76&lt;36526,W76&gt;73050,V76&gt;Pregled!$B$7,W76&lt;V76),"Proveriti datume","Evidentirano")))))</f>
        <v/>
      </c>
      <c r="AH76" s="47" t="str">
        <f>IF(AND(Z76="Da",AA76&lt;&gt;"",AB76&lt;&gt;"",AC76&lt;&gt;"",ISNUMBER(AD76),AD76&gt;=36526,AD76&lt;=73050,AD76&lt;=Pregled!$B$7,AF76="Popunjeno",AG76="Evidentirano",OR(H76="Pilot",H76="Uslovno odobreno",H76="Odobreno")),COUNT($AH$7:AH75)+1,"")</f>
        <v/>
      </c>
    </row>
    <row r="77" ht="54.0" customHeight="1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9"/>
      <c r="W77" s="39"/>
      <c r="X77" s="37"/>
      <c r="Y77" s="37"/>
      <c r="Z77" s="37"/>
      <c r="AA77" s="37"/>
      <c r="AB77" s="37"/>
      <c r="AC77" s="37"/>
      <c r="AD77" s="39"/>
      <c r="AE77" s="46" t="str">
        <f>IF(COUNTA(A77:AD77)=0,"",IF(OR(H77="Povučeno",H77="Odbijeno",H77="Obustavljeno"),"Nije aktivno",IF(W77="","Nije određen",IF(OR(NOT(ISNUMBER(W77)),W77&lt;36526,W77&gt;73050),"Proveriti datum",IF(W77&lt;Pregled!$B$7,"Kasni",IF(W77&lt;=Pregled!$B$7+Pregled!$F$7,"Uskoro","U roku"))))))</f>
        <v/>
      </c>
      <c r="AF77" s="46" t="str">
        <f>IF(COUNTA(A77:AD77)=0,"",IF(A77="","Nedostaje ID",IF(COUNTIFS($A$8:$A$207,A77)&gt;1,"Duplikat ID",IF(OR(B77="",E77="",G77="",COUNTIF(Liste!$B$7:$B$13,H77)=0),"Dopuniti osnovno","Popunjeno"))))</f>
        <v/>
      </c>
      <c r="AG77" s="46" t="str">
        <f>IF(COUNTA(A77:AD77)=0,"",IF(NOT(OR(H77="Pilot",H77="Uslovno odobreno",H77="Odobreno")),"Nije aktivna odluka",IF(OR(K77="",N77="",O77="",P77="",Q77="",R77="",S77="",T77="",U77="",V77="",W77="",X77=""),"Dopuniti evidenciju",IF(OR(NOT(ISNUMBER(V77)),NOT(ISNUMBER(W77))),"Proveriti datume",IF(OR(V77&lt;36526,V77&gt;73050,W77&lt;36526,W77&gt;73050,V77&gt;Pregled!$B$7,W77&lt;V77),"Proveriti datume","Evidentirano")))))</f>
        <v/>
      </c>
      <c r="AH77" s="47" t="str">
        <f>IF(AND(Z77="Da",AA77&lt;&gt;"",AB77&lt;&gt;"",AC77&lt;&gt;"",ISNUMBER(AD77),AD77&gt;=36526,AD77&lt;=73050,AD77&lt;=Pregled!$B$7,AF77="Popunjeno",AG77="Evidentirano",OR(H77="Pilot",H77="Uslovno odobreno",H77="Odobreno")),COUNT($AH$7:AH76)+1,"")</f>
        <v/>
      </c>
    </row>
    <row r="78" ht="54.0" customHeight="1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9"/>
      <c r="W78" s="39"/>
      <c r="X78" s="37"/>
      <c r="Y78" s="37"/>
      <c r="Z78" s="37"/>
      <c r="AA78" s="37"/>
      <c r="AB78" s="37"/>
      <c r="AC78" s="37"/>
      <c r="AD78" s="39"/>
      <c r="AE78" s="46" t="str">
        <f>IF(COUNTA(A78:AD78)=0,"",IF(OR(H78="Povučeno",H78="Odbijeno",H78="Obustavljeno"),"Nije aktivno",IF(W78="","Nije određen",IF(OR(NOT(ISNUMBER(W78)),W78&lt;36526,W78&gt;73050),"Proveriti datum",IF(W78&lt;Pregled!$B$7,"Kasni",IF(W78&lt;=Pregled!$B$7+Pregled!$F$7,"Uskoro","U roku"))))))</f>
        <v/>
      </c>
      <c r="AF78" s="46" t="str">
        <f>IF(COUNTA(A78:AD78)=0,"",IF(A78="","Nedostaje ID",IF(COUNTIFS($A$8:$A$207,A78)&gt;1,"Duplikat ID",IF(OR(B78="",E78="",G78="",COUNTIF(Liste!$B$7:$B$13,H78)=0),"Dopuniti osnovno","Popunjeno"))))</f>
        <v/>
      </c>
      <c r="AG78" s="46" t="str">
        <f>IF(COUNTA(A78:AD78)=0,"",IF(NOT(OR(H78="Pilot",H78="Uslovno odobreno",H78="Odobreno")),"Nije aktivna odluka",IF(OR(K78="",N78="",O78="",P78="",Q78="",R78="",S78="",T78="",U78="",V78="",W78="",X78=""),"Dopuniti evidenciju",IF(OR(NOT(ISNUMBER(V78)),NOT(ISNUMBER(W78))),"Proveriti datume",IF(OR(V78&lt;36526,V78&gt;73050,W78&lt;36526,W78&gt;73050,V78&gt;Pregled!$B$7,W78&lt;V78),"Proveriti datume","Evidentirano")))))</f>
        <v/>
      </c>
      <c r="AH78" s="47" t="str">
        <f>IF(AND(Z78="Da",AA78&lt;&gt;"",AB78&lt;&gt;"",AC78&lt;&gt;"",ISNUMBER(AD78),AD78&gt;=36526,AD78&lt;=73050,AD78&lt;=Pregled!$B$7,AF78="Popunjeno",AG78="Evidentirano",OR(H78="Pilot",H78="Uslovno odobreno",H78="Odobreno")),COUNT($AH$7:AH77)+1,"")</f>
        <v/>
      </c>
    </row>
    <row r="79" ht="54.0" customHeight="1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9"/>
      <c r="W79" s="39"/>
      <c r="X79" s="37"/>
      <c r="Y79" s="37"/>
      <c r="Z79" s="37"/>
      <c r="AA79" s="37"/>
      <c r="AB79" s="37"/>
      <c r="AC79" s="37"/>
      <c r="AD79" s="39"/>
      <c r="AE79" s="46" t="str">
        <f>IF(COUNTA(A79:AD79)=0,"",IF(OR(H79="Povučeno",H79="Odbijeno",H79="Obustavljeno"),"Nije aktivno",IF(W79="","Nije određen",IF(OR(NOT(ISNUMBER(W79)),W79&lt;36526,W79&gt;73050),"Proveriti datum",IF(W79&lt;Pregled!$B$7,"Kasni",IF(W79&lt;=Pregled!$B$7+Pregled!$F$7,"Uskoro","U roku"))))))</f>
        <v/>
      </c>
      <c r="AF79" s="46" t="str">
        <f>IF(COUNTA(A79:AD79)=0,"",IF(A79="","Nedostaje ID",IF(COUNTIFS($A$8:$A$207,A79)&gt;1,"Duplikat ID",IF(OR(B79="",E79="",G79="",COUNTIF(Liste!$B$7:$B$13,H79)=0),"Dopuniti osnovno","Popunjeno"))))</f>
        <v/>
      </c>
      <c r="AG79" s="46" t="str">
        <f>IF(COUNTA(A79:AD79)=0,"",IF(NOT(OR(H79="Pilot",H79="Uslovno odobreno",H79="Odobreno")),"Nije aktivna odluka",IF(OR(K79="",N79="",O79="",P79="",Q79="",R79="",S79="",T79="",U79="",V79="",W79="",X79=""),"Dopuniti evidenciju",IF(OR(NOT(ISNUMBER(V79)),NOT(ISNUMBER(W79))),"Proveriti datume",IF(OR(V79&lt;36526,V79&gt;73050,W79&lt;36526,W79&gt;73050,V79&gt;Pregled!$B$7,W79&lt;V79),"Proveriti datume","Evidentirano")))))</f>
        <v/>
      </c>
      <c r="AH79" s="47" t="str">
        <f>IF(AND(Z79="Da",AA79&lt;&gt;"",AB79&lt;&gt;"",AC79&lt;&gt;"",ISNUMBER(AD79),AD79&gt;=36526,AD79&lt;=73050,AD79&lt;=Pregled!$B$7,AF79="Popunjeno",AG79="Evidentirano",OR(H79="Pilot",H79="Uslovno odobreno",H79="Odobreno")),COUNT($AH$7:AH78)+1,"")</f>
        <v/>
      </c>
    </row>
    <row r="80" ht="54.0" customHeight="1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9"/>
      <c r="W80" s="39"/>
      <c r="X80" s="37"/>
      <c r="Y80" s="37"/>
      <c r="Z80" s="37"/>
      <c r="AA80" s="37"/>
      <c r="AB80" s="37"/>
      <c r="AC80" s="37"/>
      <c r="AD80" s="39"/>
      <c r="AE80" s="46" t="str">
        <f>IF(COUNTA(A80:AD80)=0,"",IF(OR(H80="Povučeno",H80="Odbijeno",H80="Obustavljeno"),"Nije aktivno",IF(W80="","Nije određen",IF(OR(NOT(ISNUMBER(W80)),W80&lt;36526,W80&gt;73050),"Proveriti datum",IF(W80&lt;Pregled!$B$7,"Kasni",IF(W80&lt;=Pregled!$B$7+Pregled!$F$7,"Uskoro","U roku"))))))</f>
        <v/>
      </c>
      <c r="AF80" s="46" t="str">
        <f>IF(COUNTA(A80:AD80)=0,"",IF(A80="","Nedostaje ID",IF(COUNTIFS($A$8:$A$207,A80)&gt;1,"Duplikat ID",IF(OR(B80="",E80="",G80="",COUNTIF(Liste!$B$7:$B$13,H80)=0),"Dopuniti osnovno","Popunjeno"))))</f>
        <v/>
      </c>
      <c r="AG80" s="46" t="str">
        <f>IF(COUNTA(A80:AD80)=0,"",IF(NOT(OR(H80="Pilot",H80="Uslovno odobreno",H80="Odobreno")),"Nije aktivna odluka",IF(OR(K80="",N80="",O80="",P80="",Q80="",R80="",S80="",T80="",U80="",V80="",W80="",X80=""),"Dopuniti evidenciju",IF(OR(NOT(ISNUMBER(V80)),NOT(ISNUMBER(W80))),"Proveriti datume",IF(OR(V80&lt;36526,V80&gt;73050,W80&lt;36526,W80&gt;73050,V80&gt;Pregled!$B$7,W80&lt;V80),"Proveriti datume","Evidentirano")))))</f>
        <v/>
      </c>
      <c r="AH80" s="47" t="str">
        <f>IF(AND(Z80="Da",AA80&lt;&gt;"",AB80&lt;&gt;"",AC80&lt;&gt;"",ISNUMBER(AD80),AD80&gt;=36526,AD80&lt;=73050,AD80&lt;=Pregled!$B$7,AF80="Popunjeno",AG80="Evidentirano",OR(H80="Pilot",H80="Uslovno odobreno",H80="Odobreno")),COUNT($AH$7:AH79)+1,"")</f>
        <v/>
      </c>
    </row>
    <row r="81" ht="54.0" customHeight="1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9"/>
      <c r="W81" s="39"/>
      <c r="X81" s="37"/>
      <c r="Y81" s="37"/>
      <c r="Z81" s="37"/>
      <c r="AA81" s="37"/>
      <c r="AB81" s="37"/>
      <c r="AC81" s="37"/>
      <c r="AD81" s="39"/>
      <c r="AE81" s="46" t="str">
        <f>IF(COUNTA(A81:AD81)=0,"",IF(OR(H81="Povučeno",H81="Odbijeno",H81="Obustavljeno"),"Nije aktivno",IF(W81="","Nije određen",IF(OR(NOT(ISNUMBER(W81)),W81&lt;36526,W81&gt;73050),"Proveriti datum",IF(W81&lt;Pregled!$B$7,"Kasni",IF(W81&lt;=Pregled!$B$7+Pregled!$F$7,"Uskoro","U roku"))))))</f>
        <v/>
      </c>
      <c r="AF81" s="46" t="str">
        <f>IF(COUNTA(A81:AD81)=0,"",IF(A81="","Nedostaje ID",IF(COUNTIFS($A$8:$A$207,A81)&gt;1,"Duplikat ID",IF(OR(B81="",E81="",G81="",COUNTIF(Liste!$B$7:$B$13,H81)=0),"Dopuniti osnovno","Popunjeno"))))</f>
        <v/>
      </c>
      <c r="AG81" s="46" t="str">
        <f>IF(COUNTA(A81:AD81)=0,"",IF(NOT(OR(H81="Pilot",H81="Uslovno odobreno",H81="Odobreno")),"Nije aktivna odluka",IF(OR(K81="",N81="",O81="",P81="",Q81="",R81="",S81="",T81="",U81="",V81="",W81="",X81=""),"Dopuniti evidenciju",IF(OR(NOT(ISNUMBER(V81)),NOT(ISNUMBER(W81))),"Proveriti datume",IF(OR(V81&lt;36526,V81&gt;73050,W81&lt;36526,W81&gt;73050,V81&gt;Pregled!$B$7,W81&lt;V81),"Proveriti datume","Evidentirano")))))</f>
        <v/>
      </c>
      <c r="AH81" s="47" t="str">
        <f>IF(AND(Z81="Da",AA81&lt;&gt;"",AB81&lt;&gt;"",AC81&lt;&gt;"",ISNUMBER(AD81),AD81&gt;=36526,AD81&lt;=73050,AD81&lt;=Pregled!$B$7,AF81="Popunjeno",AG81="Evidentirano",OR(H81="Pilot",H81="Uslovno odobreno",H81="Odobreno")),COUNT($AH$7:AH80)+1,"")</f>
        <v/>
      </c>
    </row>
    <row r="82" ht="54.0" customHeight="1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9"/>
      <c r="W82" s="39"/>
      <c r="X82" s="37"/>
      <c r="Y82" s="37"/>
      <c r="Z82" s="37"/>
      <c r="AA82" s="37"/>
      <c r="AB82" s="37"/>
      <c r="AC82" s="37"/>
      <c r="AD82" s="39"/>
      <c r="AE82" s="46" t="str">
        <f>IF(COUNTA(A82:AD82)=0,"",IF(OR(H82="Povučeno",H82="Odbijeno",H82="Obustavljeno"),"Nije aktivno",IF(W82="","Nije određen",IF(OR(NOT(ISNUMBER(W82)),W82&lt;36526,W82&gt;73050),"Proveriti datum",IF(W82&lt;Pregled!$B$7,"Kasni",IF(W82&lt;=Pregled!$B$7+Pregled!$F$7,"Uskoro","U roku"))))))</f>
        <v/>
      </c>
      <c r="AF82" s="46" t="str">
        <f>IF(COUNTA(A82:AD82)=0,"",IF(A82="","Nedostaje ID",IF(COUNTIFS($A$8:$A$207,A82)&gt;1,"Duplikat ID",IF(OR(B82="",E82="",G82="",COUNTIF(Liste!$B$7:$B$13,H82)=0),"Dopuniti osnovno","Popunjeno"))))</f>
        <v/>
      </c>
      <c r="AG82" s="46" t="str">
        <f>IF(COUNTA(A82:AD82)=0,"",IF(NOT(OR(H82="Pilot",H82="Uslovno odobreno",H82="Odobreno")),"Nije aktivna odluka",IF(OR(K82="",N82="",O82="",P82="",Q82="",R82="",S82="",T82="",U82="",V82="",W82="",X82=""),"Dopuniti evidenciju",IF(OR(NOT(ISNUMBER(V82)),NOT(ISNUMBER(W82))),"Proveriti datume",IF(OR(V82&lt;36526,V82&gt;73050,W82&lt;36526,W82&gt;73050,V82&gt;Pregled!$B$7,W82&lt;V82),"Proveriti datume","Evidentirano")))))</f>
        <v/>
      </c>
      <c r="AH82" s="47" t="str">
        <f>IF(AND(Z82="Da",AA82&lt;&gt;"",AB82&lt;&gt;"",AC82&lt;&gt;"",ISNUMBER(AD82),AD82&gt;=36526,AD82&lt;=73050,AD82&lt;=Pregled!$B$7,AF82="Popunjeno",AG82="Evidentirano",OR(H82="Pilot",H82="Uslovno odobreno",H82="Odobreno")),COUNT($AH$7:AH81)+1,"")</f>
        <v/>
      </c>
    </row>
    <row r="83" ht="54.0" customHeight="1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9"/>
      <c r="W83" s="39"/>
      <c r="X83" s="37"/>
      <c r="Y83" s="37"/>
      <c r="Z83" s="37"/>
      <c r="AA83" s="37"/>
      <c r="AB83" s="37"/>
      <c r="AC83" s="37"/>
      <c r="AD83" s="39"/>
      <c r="AE83" s="46" t="str">
        <f>IF(COUNTA(A83:AD83)=0,"",IF(OR(H83="Povučeno",H83="Odbijeno",H83="Obustavljeno"),"Nije aktivno",IF(W83="","Nije određen",IF(OR(NOT(ISNUMBER(W83)),W83&lt;36526,W83&gt;73050),"Proveriti datum",IF(W83&lt;Pregled!$B$7,"Kasni",IF(W83&lt;=Pregled!$B$7+Pregled!$F$7,"Uskoro","U roku"))))))</f>
        <v/>
      </c>
      <c r="AF83" s="46" t="str">
        <f>IF(COUNTA(A83:AD83)=0,"",IF(A83="","Nedostaje ID",IF(COUNTIFS($A$8:$A$207,A83)&gt;1,"Duplikat ID",IF(OR(B83="",E83="",G83="",COUNTIF(Liste!$B$7:$B$13,H83)=0),"Dopuniti osnovno","Popunjeno"))))</f>
        <v/>
      </c>
      <c r="AG83" s="46" t="str">
        <f>IF(COUNTA(A83:AD83)=0,"",IF(NOT(OR(H83="Pilot",H83="Uslovno odobreno",H83="Odobreno")),"Nije aktivna odluka",IF(OR(K83="",N83="",O83="",P83="",Q83="",R83="",S83="",T83="",U83="",V83="",W83="",X83=""),"Dopuniti evidenciju",IF(OR(NOT(ISNUMBER(V83)),NOT(ISNUMBER(W83))),"Proveriti datume",IF(OR(V83&lt;36526,V83&gt;73050,W83&lt;36526,W83&gt;73050,V83&gt;Pregled!$B$7,W83&lt;V83),"Proveriti datume","Evidentirano")))))</f>
        <v/>
      </c>
      <c r="AH83" s="47" t="str">
        <f>IF(AND(Z83="Da",AA83&lt;&gt;"",AB83&lt;&gt;"",AC83&lt;&gt;"",ISNUMBER(AD83),AD83&gt;=36526,AD83&lt;=73050,AD83&lt;=Pregled!$B$7,AF83="Popunjeno",AG83="Evidentirano",OR(H83="Pilot",H83="Uslovno odobreno",H83="Odobreno")),COUNT($AH$7:AH82)+1,"")</f>
        <v/>
      </c>
    </row>
    <row r="84" ht="54.0" customHeight="1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9"/>
      <c r="W84" s="39"/>
      <c r="X84" s="37"/>
      <c r="Y84" s="37"/>
      <c r="Z84" s="37"/>
      <c r="AA84" s="37"/>
      <c r="AB84" s="37"/>
      <c r="AC84" s="37"/>
      <c r="AD84" s="39"/>
      <c r="AE84" s="46" t="str">
        <f>IF(COUNTA(A84:AD84)=0,"",IF(OR(H84="Povučeno",H84="Odbijeno",H84="Obustavljeno"),"Nije aktivno",IF(W84="","Nije određen",IF(OR(NOT(ISNUMBER(W84)),W84&lt;36526,W84&gt;73050),"Proveriti datum",IF(W84&lt;Pregled!$B$7,"Kasni",IF(W84&lt;=Pregled!$B$7+Pregled!$F$7,"Uskoro","U roku"))))))</f>
        <v/>
      </c>
      <c r="AF84" s="46" t="str">
        <f>IF(COUNTA(A84:AD84)=0,"",IF(A84="","Nedostaje ID",IF(COUNTIFS($A$8:$A$207,A84)&gt;1,"Duplikat ID",IF(OR(B84="",E84="",G84="",COUNTIF(Liste!$B$7:$B$13,H84)=0),"Dopuniti osnovno","Popunjeno"))))</f>
        <v/>
      </c>
      <c r="AG84" s="46" t="str">
        <f>IF(COUNTA(A84:AD84)=0,"",IF(NOT(OR(H84="Pilot",H84="Uslovno odobreno",H84="Odobreno")),"Nije aktivna odluka",IF(OR(K84="",N84="",O84="",P84="",Q84="",R84="",S84="",T84="",U84="",V84="",W84="",X84=""),"Dopuniti evidenciju",IF(OR(NOT(ISNUMBER(V84)),NOT(ISNUMBER(W84))),"Proveriti datume",IF(OR(V84&lt;36526,V84&gt;73050,W84&lt;36526,W84&gt;73050,V84&gt;Pregled!$B$7,W84&lt;V84),"Proveriti datume","Evidentirano")))))</f>
        <v/>
      </c>
      <c r="AH84" s="47" t="str">
        <f>IF(AND(Z84="Da",AA84&lt;&gt;"",AB84&lt;&gt;"",AC84&lt;&gt;"",ISNUMBER(AD84),AD84&gt;=36526,AD84&lt;=73050,AD84&lt;=Pregled!$B$7,AF84="Popunjeno",AG84="Evidentirano",OR(H84="Pilot",H84="Uslovno odobreno",H84="Odobreno")),COUNT($AH$7:AH83)+1,"")</f>
        <v/>
      </c>
    </row>
    <row r="85" ht="54.0" customHeight="1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9"/>
      <c r="W85" s="39"/>
      <c r="X85" s="37"/>
      <c r="Y85" s="37"/>
      <c r="Z85" s="37"/>
      <c r="AA85" s="37"/>
      <c r="AB85" s="37"/>
      <c r="AC85" s="37"/>
      <c r="AD85" s="39"/>
      <c r="AE85" s="46" t="str">
        <f>IF(COUNTA(A85:AD85)=0,"",IF(OR(H85="Povučeno",H85="Odbijeno",H85="Obustavljeno"),"Nije aktivno",IF(W85="","Nije određen",IF(OR(NOT(ISNUMBER(W85)),W85&lt;36526,W85&gt;73050),"Proveriti datum",IF(W85&lt;Pregled!$B$7,"Kasni",IF(W85&lt;=Pregled!$B$7+Pregled!$F$7,"Uskoro","U roku"))))))</f>
        <v/>
      </c>
      <c r="AF85" s="46" t="str">
        <f>IF(COUNTA(A85:AD85)=0,"",IF(A85="","Nedostaje ID",IF(COUNTIFS($A$8:$A$207,A85)&gt;1,"Duplikat ID",IF(OR(B85="",E85="",G85="",COUNTIF(Liste!$B$7:$B$13,H85)=0),"Dopuniti osnovno","Popunjeno"))))</f>
        <v/>
      </c>
      <c r="AG85" s="46" t="str">
        <f>IF(COUNTA(A85:AD85)=0,"",IF(NOT(OR(H85="Pilot",H85="Uslovno odobreno",H85="Odobreno")),"Nije aktivna odluka",IF(OR(K85="",N85="",O85="",P85="",Q85="",R85="",S85="",T85="",U85="",V85="",W85="",X85=""),"Dopuniti evidenciju",IF(OR(NOT(ISNUMBER(V85)),NOT(ISNUMBER(W85))),"Proveriti datume",IF(OR(V85&lt;36526,V85&gt;73050,W85&lt;36526,W85&gt;73050,V85&gt;Pregled!$B$7,W85&lt;V85),"Proveriti datume","Evidentirano")))))</f>
        <v/>
      </c>
      <c r="AH85" s="47" t="str">
        <f>IF(AND(Z85="Da",AA85&lt;&gt;"",AB85&lt;&gt;"",AC85&lt;&gt;"",ISNUMBER(AD85),AD85&gt;=36526,AD85&lt;=73050,AD85&lt;=Pregled!$B$7,AF85="Popunjeno",AG85="Evidentirano",OR(H85="Pilot",H85="Uslovno odobreno",H85="Odobreno")),COUNT($AH$7:AH84)+1,"")</f>
        <v/>
      </c>
    </row>
    <row r="86" ht="54.0" customHeight="1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9"/>
      <c r="W86" s="39"/>
      <c r="X86" s="37"/>
      <c r="Y86" s="37"/>
      <c r="Z86" s="37"/>
      <c r="AA86" s="37"/>
      <c r="AB86" s="37"/>
      <c r="AC86" s="37"/>
      <c r="AD86" s="39"/>
      <c r="AE86" s="46" t="str">
        <f>IF(COUNTA(A86:AD86)=0,"",IF(OR(H86="Povučeno",H86="Odbijeno",H86="Obustavljeno"),"Nije aktivno",IF(W86="","Nije određen",IF(OR(NOT(ISNUMBER(W86)),W86&lt;36526,W86&gt;73050),"Proveriti datum",IF(W86&lt;Pregled!$B$7,"Kasni",IF(W86&lt;=Pregled!$B$7+Pregled!$F$7,"Uskoro","U roku"))))))</f>
        <v/>
      </c>
      <c r="AF86" s="46" t="str">
        <f>IF(COUNTA(A86:AD86)=0,"",IF(A86="","Nedostaje ID",IF(COUNTIFS($A$8:$A$207,A86)&gt;1,"Duplikat ID",IF(OR(B86="",E86="",G86="",COUNTIF(Liste!$B$7:$B$13,H86)=0),"Dopuniti osnovno","Popunjeno"))))</f>
        <v/>
      </c>
      <c r="AG86" s="46" t="str">
        <f>IF(COUNTA(A86:AD86)=0,"",IF(NOT(OR(H86="Pilot",H86="Uslovno odobreno",H86="Odobreno")),"Nije aktivna odluka",IF(OR(K86="",N86="",O86="",P86="",Q86="",R86="",S86="",T86="",U86="",V86="",W86="",X86=""),"Dopuniti evidenciju",IF(OR(NOT(ISNUMBER(V86)),NOT(ISNUMBER(W86))),"Proveriti datume",IF(OR(V86&lt;36526,V86&gt;73050,W86&lt;36526,W86&gt;73050,V86&gt;Pregled!$B$7,W86&lt;V86),"Proveriti datume","Evidentirano")))))</f>
        <v/>
      </c>
      <c r="AH86" s="47" t="str">
        <f>IF(AND(Z86="Da",AA86&lt;&gt;"",AB86&lt;&gt;"",AC86&lt;&gt;"",ISNUMBER(AD86),AD86&gt;=36526,AD86&lt;=73050,AD86&lt;=Pregled!$B$7,AF86="Popunjeno",AG86="Evidentirano",OR(H86="Pilot",H86="Uslovno odobreno",H86="Odobreno")),COUNT($AH$7:AH85)+1,"")</f>
        <v/>
      </c>
    </row>
    <row r="87" ht="54.0" customHeight="1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9"/>
      <c r="W87" s="39"/>
      <c r="X87" s="37"/>
      <c r="Y87" s="37"/>
      <c r="Z87" s="37"/>
      <c r="AA87" s="37"/>
      <c r="AB87" s="37"/>
      <c r="AC87" s="37"/>
      <c r="AD87" s="39"/>
      <c r="AE87" s="46" t="str">
        <f>IF(COUNTA(A87:AD87)=0,"",IF(OR(H87="Povučeno",H87="Odbijeno",H87="Obustavljeno"),"Nije aktivno",IF(W87="","Nije određen",IF(OR(NOT(ISNUMBER(W87)),W87&lt;36526,W87&gt;73050),"Proveriti datum",IF(W87&lt;Pregled!$B$7,"Kasni",IF(W87&lt;=Pregled!$B$7+Pregled!$F$7,"Uskoro","U roku"))))))</f>
        <v/>
      </c>
      <c r="AF87" s="46" t="str">
        <f>IF(COUNTA(A87:AD87)=0,"",IF(A87="","Nedostaje ID",IF(COUNTIFS($A$8:$A$207,A87)&gt;1,"Duplikat ID",IF(OR(B87="",E87="",G87="",COUNTIF(Liste!$B$7:$B$13,H87)=0),"Dopuniti osnovno","Popunjeno"))))</f>
        <v/>
      </c>
      <c r="AG87" s="46" t="str">
        <f>IF(COUNTA(A87:AD87)=0,"",IF(NOT(OR(H87="Pilot",H87="Uslovno odobreno",H87="Odobreno")),"Nije aktivna odluka",IF(OR(K87="",N87="",O87="",P87="",Q87="",R87="",S87="",T87="",U87="",V87="",W87="",X87=""),"Dopuniti evidenciju",IF(OR(NOT(ISNUMBER(V87)),NOT(ISNUMBER(W87))),"Proveriti datume",IF(OR(V87&lt;36526,V87&gt;73050,W87&lt;36526,W87&gt;73050,V87&gt;Pregled!$B$7,W87&lt;V87),"Proveriti datume","Evidentirano")))))</f>
        <v/>
      </c>
      <c r="AH87" s="47" t="str">
        <f>IF(AND(Z87="Da",AA87&lt;&gt;"",AB87&lt;&gt;"",AC87&lt;&gt;"",ISNUMBER(AD87),AD87&gt;=36526,AD87&lt;=73050,AD87&lt;=Pregled!$B$7,AF87="Popunjeno",AG87="Evidentirano",OR(H87="Pilot",H87="Uslovno odobreno",H87="Odobreno")),COUNT($AH$7:AH86)+1,"")</f>
        <v/>
      </c>
    </row>
    <row r="88" ht="54.0" customHeight="1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9"/>
      <c r="W88" s="39"/>
      <c r="X88" s="37"/>
      <c r="Y88" s="37"/>
      <c r="Z88" s="37"/>
      <c r="AA88" s="37"/>
      <c r="AB88" s="37"/>
      <c r="AC88" s="37"/>
      <c r="AD88" s="39"/>
      <c r="AE88" s="46" t="str">
        <f>IF(COUNTA(A88:AD88)=0,"",IF(OR(H88="Povučeno",H88="Odbijeno",H88="Obustavljeno"),"Nije aktivno",IF(W88="","Nije određen",IF(OR(NOT(ISNUMBER(W88)),W88&lt;36526,W88&gt;73050),"Proveriti datum",IF(W88&lt;Pregled!$B$7,"Kasni",IF(W88&lt;=Pregled!$B$7+Pregled!$F$7,"Uskoro","U roku"))))))</f>
        <v/>
      </c>
      <c r="AF88" s="46" t="str">
        <f>IF(COUNTA(A88:AD88)=0,"",IF(A88="","Nedostaje ID",IF(COUNTIFS($A$8:$A$207,A88)&gt;1,"Duplikat ID",IF(OR(B88="",E88="",G88="",COUNTIF(Liste!$B$7:$B$13,H88)=0),"Dopuniti osnovno","Popunjeno"))))</f>
        <v/>
      </c>
      <c r="AG88" s="46" t="str">
        <f>IF(COUNTA(A88:AD88)=0,"",IF(NOT(OR(H88="Pilot",H88="Uslovno odobreno",H88="Odobreno")),"Nije aktivna odluka",IF(OR(K88="",N88="",O88="",P88="",Q88="",R88="",S88="",T88="",U88="",V88="",W88="",X88=""),"Dopuniti evidenciju",IF(OR(NOT(ISNUMBER(V88)),NOT(ISNUMBER(W88))),"Proveriti datume",IF(OR(V88&lt;36526,V88&gt;73050,W88&lt;36526,W88&gt;73050,V88&gt;Pregled!$B$7,W88&lt;V88),"Proveriti datume","Evidentirano")))))</f>
        <v/>
      </c>
      <c r="AH88" s="47" t="str">
        <f>IF(AND(Z88="Da",AA88&lt;&gt;"",AB88&lt;&gt;"",AC88&lt;&gt;"",ISNUMBER(AD88),AD88&gt;=36526,AD88&lt;=73050,AD88&lt;=Pregled!$B$7,AF88="Popunjeno",AG88="Evidentirano",OR(H88="Pilot",H88="Uslovno odobreno",H88="Odobreno")),COUNT($AH$7:AH87)+1,"")</f>
        <v/>
      </c>
    </row>
    <row r="89" ht="54.0" customHeight="1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9"/>
      <c r="W89" s="39"/>
      <c r="X89" s="37"/>
      <c r="Y89" s="37"/>
      <c r="Z89" s="37"/>
      <c r="AA89" s="37"/>
      <c r="AB89" s="37"/>
      <c r="AC89" s="37"/>
      <c r="AD89" s="39"/>
      <c r="AE89" s="46" t="str">
        <f>IF(COUNTA(A89:AD89)=0,"",IF(OR(H89="Povučeno",H89="Odbijeno",H89="Obustavljeno"),"Nije aktivno",IF(W89="","Nije određen",IF(OR(NOT(ISNUMBER(W89)),W89&lt;36526,W89&gt;73050),"Proveriti datum",IF(W89&lt;Pregled!$B$7,"Kasni",IF(W89&lt;=Pregled!$B$7+Pregled!$F$7,"Uskoro","U roku"))))))</f>
        <v/>
      </c>
      <c r="AF89" s="46" t="str">
        <f>IF(COUNTA(A89:AD89)=0,"",IF(A89="","Nedostaje ID",IF(COUNTIFS($A$8:$A$207,A89)&gt;1,"Duplikat ID",IF(OR(B89="",E89="",G89="",COUNTIF(Liste!$B$7:$B$13,H89)=0),"Dopuniti osnovno","Popunjeno"))))</f>
        <v/>
      </c>
      <c r="AG89" s="46" t="str">
        <f>IF(COUNTA(A89:AD89)=0,"",IF(NOT(OR(H89="Pilot",H89="Uslovno odobreno",H89="Odobreno")),"Nije aktivna odluka",IF(OR(K89="",N89="",O89="",P89="",Q89="",R89="",S89="",T89="",U89="",V89="",W89="",X89=""),"Dopuniti evidenciju",IF(OR(NOT(ISNUMBER(V89)),NOT(ISNUMBER(W89))),"Proveriti datume",IF(OR(V89&lt;36526,V89&gt;73050,W89&lt;36526,W89&gt;73050,V89&gt;Pregled!$B$7,W89&lt;V89),"Proveriti datume","Evidentirano")))))</f>
        <v/>
      </c>
      <c r="AH89" s="47" t="str">
        <f>IF(AND(Z89="Da",AA89&lt;&gt;"",AB89&lt;&gt;"",AC89&lt;&gt;"",ISNUMBER(AD89),AD89&gt;=36526,AD89&lt;=73050,AD89&lt;=Pregled!$B$7,AF89="Popunjeno",AG89="Evidentirano",OR(H89="Pilot",H89="Uslovno odobreno",H89="Odobreno")),COUNT($AH$7:AH88)+1,"")</f>
        <v/>
      </c>
    </row>
    <row r="90" ht="54.0" customHeight="1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9"/>
      <c r="W90" s="39"/>
      <c r="X90" s="37"/>
      <c r="Y90" s="37"/>
      <c r="Z90" s="37"/>
      <c r="AA90" s="37"/>
      <c r="AB90" s="37"/>
      <c r="AC90" s="37"/>
      <c r="AD90" s="39"/>
      <c r="AE90" s="46" t="str">
        <f>IF(COUNTA(A90:AD90)=0,"",IF(OR(H90="Povučeno",H90="Odbijeno",H90="Obustavljeno"),"Nije aktivno",IF(W90="","Nije određen",IF(OR(NOT(ISNUMBER(W90)),W90&lt;36526,W90&gt;73050),"Proveriti datum",IF(W90&lt;Pregled!$B$7,"Kasni",IF(W90&lt;=Pregled!$B$7+Pregled!$F$7,"Uskoro","U roku"))))))</f>
        <v/>
      </c>
      <c r="AF90" s="46" t="str">
        <f>IF(COUNTA(A90:AD90)=0,"",IF(A90="","Nedostaje ID",IF(COUNTIFS($A$8:$A$207,A90)&gt;1,"Duplikat ID",IF(OR(B90="",E90="",G90="",COUNTIF(Liste!$B$7:$B$13,H90)=0),"Dopuniti osnovno","Popunjeno"))))</f>
        <v/>
      </c>
      <c r="AG90" s="46" t="str">
        <f>IF(COUNTA(A90:AD90)=0,"",IF(NOT(OR(H90="Pilot",H90="Uslovno odobreno",H90="Odobreno")),"Nije aktivna odluka",IF(OR(K90="",N90="",O90="",P90="",Q90="",R90="",S90="",T90="",U90="",V90="",W90="",X90=""),"Dopuniti evidenciju",IF(OR(NOT(ISNUMBER(V90)),NOT(ISNUMBER(W90))),"Proveriti datume",IF(OR(V90&lt;36526,V90&gt;73050,W90&lt;36526,W90&gt;73050,V90&gt;Pregled!$B$7,W90&lt;V90),"Proveriti datume","Evidentirano")))))</f>
        <v/>
      </c>
      <c r="AH90" s="47" t="str">
        <f>IF(AND(Z90="Da",AA90&lt;&gt;"",AB90&lt;&gt;"",AC90&lt;&gt;"",ISNUMBER(AD90),AD90&gt;=36526,AD90&lt;=73050,AD90&lt;=Pregled!$B$7,AF90="Popunjeno",AG90="Evidentirano",OR(H90="Pilot",H90="Uslovno odobreno",H90="Odobreno")),COUNT($AH$7:AH89)+1,"")</f>
        <v/>
      </c>
    </row>
    <row r="91" ht="54.0" customHeight="1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9"/>
      <c r="W91" s="39"/>
      <c r="X91" s="37"/>
      <c r="Y91" s="37"/>
      <c r="Z91" s="37"/>
      <c r="AA91" s="37"/>
      <c r="AB91" s="37"/>
      <c r="AC91" s="37"/>
      <c r="AD91" s="39"/>
      <c r="AE91" s="46" t="str">
        <f>IF(COUNTA(A91:AD91)=0,"",IF(OR(H91="Povučeno",H91="Odbijeno",H91="Obustavljeno"),"Nije aktivno",IF(W91="","Nije određen",IF(OR(NOT(ISNUMBER(W91)),W91&lt;36526,W91&gt;73050),"Proveriti datum",IF(W91&lt;Pregled!$B$7,"Kasni",IF(W91&lt;=Pregled!$B$7+Pregled!$F$7,"Uskoro","U roku"))))))</f>
        <v/>
      </c>
      <c r="AF91" s="46" t="str">
        <f>IF(COUNTA(A91:AD91)=0,"",IF(A91="","Nedostaje ID",IF(COUNTIFS($A$8:$A$207,A91)&gt;1,"Duplikat ID",IF(OR(B91="",E91="",G91="",COUNTIF(Liste!$B$7:$B$13,H91)=0),"Dopuniti osnovno","Popunjeno"))))</f>
        <v/>
      </c>
      <c r="AG91" s="46" t="str">
        <f>IF(COUNTA(A91:AD91)=0,"",IF(NOT(OR(H91="Pilot",H91="Uslovno odobreno",H91="Odobreno")),"Nije aktivna odluka",IF(OR(K91="",N91="",O91="",P91="",Q91="",R91="",S91="",T91="",U91="",V91="",W91="",X91=""),"Dopuniti evidenciju",IF(OR(NOT(ISNUMBER(V91)),NOT(ISNUMBER(W91))),"Proveriti datume",IF(OR(V91&lt;36526,V91&gt;73050,W91&lt;36526,W91&gt;73050,V91&gt;Pregled!$B$7,W91&lt;V91),"Proveriti datume","Evidentirano")))))</f>
        <v/>
      </c>
      <c r="AH91" s="47" t="str">
        <f>IF(AND(Z91="Da",AA91&lt;&gt;"",AB91&lt;&gt;"",AC91&lt;&gt;"",ISNUMBER(AD91),AD91&gt;=36526,AD91&lt;=73050,AD91&lt;=Pregled!$B$7,AF91="Popunjeno",AG91="Evidentirano",OR(H91="Pilot",H91="Uslovno odobreno",H91="Odobreno")),COUNT($AH$7:AH90)+1,"")</f>
        <v/>
      </c>
    </row>
    <row r="92" ht="54.0" customHeight="1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9"/>
      <c r="W92" s="39"/>
      <c r="X92" s="37"/>
      <c r="Y92" s="37"/>
      <c r="Z92" s="37"/>
      <c r="AA92" s="37"/>
      <c r="AB92" s="37"/>
      <c r="AC92" s="37"/>
      <c r="AD92" s="39"/>
      <c r="AE92" s="46" t="str">
        <f>IF(COUNTA(A92:AD92)=0,"",IF(OR(H92="Povučeno",H92="Odbijeno",H92="Obustavljeno"),"Nije aktivno",IF(W92="","Nije određen",IF(OR(NOT(ISNUMBER(W92)),W92&lt;36526,W92&gt;73050),"Proveriti datum",IF(W92&lt;Pregled!$B$7,"Kasni",IF(W92&lt;=Pregled!$B$7+Pregled!$F$7,"Uskoro","U roku"))))))</f>
        <v/>
      </c>
      <c r="AF92" s="46" t="str">
        <f>IF(COUNTA(A92:AD92)=0,"",IF(A92="","Nedostaje ID",IF(COUNTIFS($A$8:$A$207,A92)&gt;1,"Duplikat ID",IF(OR(B92="",E92="",G92="",COUNTIF(Liste!$B$7:$B$13,H92)=0),"Dopuniti osnovno","Popunjeno"))))</f>
        <v/>
      </c>
      <c r="AG92" s="46" t="str">
        <f>IF(COUNTA(A92:AD92)=0,"",IF(NOT(OR(H92="Pilot",H92="Uslovno odobreno",H92="Odobreno")),"Nije aktivna odluka",IF(OR(K92="",N92="",O92="",P92="",Q92="",R92="",S92="",T92="",U92="",V92="",W92="",X92=""),"Dopuniti evidenciju",IF(OR(NOT(ISNUMBER(V92)),NOT(ISNUMBER(W92))),"Proveriti datume",IF(OR(V92&lt;36526,V92&gt;73050,W92&lt;36526,W92&gt;73050,V92&gt;Pregled!$B$7,W92&lt;V92),"Proveriti datume","Evidentirano")))))</f>
        <v/>
      </c>
      <c r="AH92" s="47" t="str">
        <f>IF(AND(Z92="Da",AA92&lt;&gt;"",AB92&lt;&gt;"",AC92&lt;&gt;"",ISNUMBER(AD92),AD92&gt;=36526,AD92&lt;=73050,AD92&lt;=Pregled!$B$7,AF92="Popunjeno",AG92="Evidentirano",OR(H92="Pilot",H92="Uslovno odobreno",H92="Odobreno")),COUNT($AH$7:AH91)+1,"")</f>
        <v/>
      </c>
    </row>
    <row r="93" ht="54.0" customHeight="1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9"/>
      <c r="W93" s="39"/>
      <c r="X93" s="37"/>
      <c r="Y93" s="37"/>
      <c r="Z93" s="37"/>
      <c r="AA93" s="37"/>
      <c r="AB93" s="37"/>
      <c r="AC93" s="37"/>
      <c r="AD93" s="39"/>
      <c r="AE93" s="46" t="str">
        <f>IF(COUNTA(A93:AD93)=0,"",IF(OR(H93="Povučeno",H93="Odbijeno",H93="Obustavljeno"),"Nije aktivno",IF(W93="","Nije određen",IF(OR(NOT(ISNUMBER(W93)),W93&lt;36526,W93&gt;73050),"Proveriti datum",IF(W93&lt;Pregled!$B$7,"Kasni",IF(W93&lt;=Pregled!$B$7+Pregled!$F$7,"Uskoro","U roku"))))))</f>
        <v/>
      </c>
      <c r="AF93" s="46" t="str">
        <f>IF(COUNTA(A93:AD93)=0,"",IF(A93="","Nedostaje ID",IF(COUNTIFS($A$8:$A$207,A93)&gt;1,"Duplikat ID",IF(OR(B93="",E93="",G93="",COUNTIF(Liste!$B$7:$B$13,H93)=0),"Dopuniti osnovno","Popunjeno"))))</f>
        <v/>
      </c>
      <c r="AG93" s="46" t="str">
        <f>IF(COUNTA(A93:AD93)=0,"",IF(NOT(OR(H93="Pilot",H93="Uslovno odobreno",H93="Odobreno")),"Nije aktivna odluka",IF(OR(K93="",N93="",O93="",P93="",Q93="",R93="",S93="",T93="",U93="",V93="",W93="",X93=""),"Dopuniti evidenciju",IF(OR(NOT(ISNUMBER(V93)),NOT(ISNUMBER(W93))),"Proveriti datume",IF(OR(V93&lt;36526,V93&gt;73050,W93&lt;36526,W93&gt;73050,V93&gt;Pregled!$B$7,W93&lt;V93),"Proveriti datume","Evidentirano")))))</f>
        <v/>
      </c>
      <c r="AH93" s="47" t="str">
        <f>IF(AND(Z93="Da",AA93&lt;&gt;"",AB93&lt;&gt;"",AC93&lt;&gt;"",ISNUMBER(AD93),AD93&gt;=36526,AD93&lt;=73050,AD93&lt;=Pregled!$B$7,AF93="Popunjeno",AG93="Evidentirano",OR(H93="Pilot",H93="Uslovno odobreno",H93="Odobreno")),COUNT($AH$7:AH92)+1,"")</f>
        <v/>
      </c>
    </row>
    <row r="94" ht="54.0" customHeight="1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9"/>
      <c r="W94" s="39"/>
      <c r="X94" s="37"/>
      <c r="Y94" s="37"/>
      <c r="Z94" s="37"/>
      <c r="AA94" s="37"/>
      <c r="AB94" s="37"/>
      <c r="AC94" s="37"/>
      <c r="AD94" s="39"/>
      <c r="AE94" s="46" t="str">
        <f>IF(COUNTA(A94:AD94)=0,"",IF(OR(H94="Povučeno",H94="Odbijeno",H94="Obustavljeno"),"Nije aktivno",IF(W94="","Nije određen",IF(OR(NOT(ISNUMBER(W94)),W94&lt;36526,W94&gt;73050),"Proveriti datum",IF(W94&lt;Pregled!$B$7,"Kasni",IF(W94&lt;=Pregled!$B$7+Pregled!$F$7,"Uskoro","U roku"))))))</f>
        <v/>
      </c>
      <c r="AF94" s="46" t="str">
        <f>IF(COUNTA(A94:AD94)=0,"",IF(A94="","Nedostaje ID",IF(COUNTIFS($A$8:$A$207,A94)&gt;1,"Duplikat ID",IF(OR(B94="",E94="",G94="",COUNTIF(Liste!$B$7:$B$13,H94)=0),"Dopuniti osnovno","Popunjeno"))))</f>
        <v/>
      </c>
      <c r="AG94" s="46" t="str">
        <f>IF(COUNTA(A94:AD94)=0,"",IF(NOT(OR(H94="Pilot",H94="Uslovno odobreno",H94="Odobreno")),"Nije aktivna odluka",IF(OR(K94="",N94="",O94="",P94="",Q94="",R94="",S94="",T94="",U94="",V94="",W94="",X94=""),"Dopuniti evidenciju",IF(OR(NOT(ISNUMBER(V94)),NOT(ISNUMBER(W94))),"Proveriti datume",IF(OR(V94&lt;36526,V94&gt;73050,W94&lt;36526,W94&gt;73050,V94&gt;Pregled!$B$7,W94&lt;V94),"Proveriti datume","Evidentirano")))))</f>
        <v/>
      </c>
      <c r="AH94" s="47" t="str">
        <f>IF(AND(Z94="Da",AA94&lt;&gt;"",AB94&lt;&gt;"",AC94&lt;&gt;"",ISNUMBER(AD94),AD94&gt;=36526,AD94&lt;=73050,AD94&lt;=Pregled!$B$7,AF94="Popunjeno",AG94="Evidentirano",OR(H94="Pilot",H94="Uslovno odobreno",H94="Odobreno")),COUNT($AH$7:AH93)+1,"")</f>
        <v/>
      </c>
    </row>
    <row r="95" ht="54.0" customHeight="1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9"/>
      <c r="W95" s="39"/>
      <c r="X95" s="37"/>
      <c r="Y95" s="37"/>
      <c r="Z95" s="37"/>
      <c r="AA95" s="37"/>
      <c r="AB95" s="37"/>
      <c r="AC95" s="37"/>
      <c r="AD95" s="39"/>
      <c r="AE95" s="46" t="str">
        <f>IF(COUNTA(A95:AD95)=0,"",IF(OR(H95="Povučeno",H95="Odbijeno",H95="Obustavljeno"),"Nije aktivno",IF(W95="","Nije određen",IF(OR(NOT(ISNUMBER(W95)),W95&lt;36526,W95&gt;73050),"Proveriti datum",IF(W95&lt;Pregled!$B$7,"Kasni",IF(W95&lt;=Pregled!$B$7+Pregled!$F$7,"Uskoro","U roku"))))))</f>
        <v/>
      </c>
      <c r="AF95" s="46" t="str">
        <f>IF(COUNTA(A95:AD95)=0,"",IF(A95="","Nedostaje ID",IF(COUNTIFS($A$8:$A$207,A95)&gt;1,"Duplikat ID",IF(OR(B95="",E95="",G95="",COUNTIF(Liste!$B$7:$B$13,H95)=0),"Dopuniti osnovno","Popunjeno"))))</f>
        <v/>
      </c>
      <c r="AG95" s="46" t="str">
        <f>IF(COUNTA(A95:AD95)=0,"",IF(NOT(OR(H95="Pilot",H95="Uslovno odobreno",H95="Odobreno")),"Nije aktivna odluka",IF(OR(K95="",N95="",O95="",P95="",Q95="",R95="",S95="",T95="",U95="",V95="",W95="",X95=""),"Dopuniti evidenciju",IF(OR(NOT(ISNUMBER(V95)),NOT(ISNUMBER(W95))),"Proveriti datume",IF(OR(V95&lt;36526,V95&gt;73050,W95&lt;36526,W95&gt;73050,V95&gt;Pregled!$B$7,W95&lt;V95),"Proveriti datume","Evidentirano")))))</f>
        <v/>
      </c>
      <c r="AH95" s="47" t="str">
        <f>IF(AND(Z95="Da",AA95&lt;&gt;"",AB95&lt;&gt;"",AC95&lt;&gt;"",ISNUMBER(AD95),AD95&gt;=36526,AD95&lt;=73050,AD95&lt;=Pregled!$B$7,AF95="Popunjeno",AG95="Evidentirano",OR(H95="Pilot",H95="Uslovno odobreno",H95="Odobreno")),COUNT($AH$7:AH94)+1,"")</f>
        <v/>
      </c>
    </row>
    <row r="96" ht="54.0" customHeight="1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9"/>
      <c r="W96" s="39"/>
      <c r="X96" s="37"/>
      <c r="Y96" s="37"/>
      <c r="Z96" s="37"/>
      <c r="AA96" s="37"/>
      <c r="AB96" s="37"/>
      <c r="AC96" s="37"/>
      <c r="AD96" s="39"/>
      <c r="AE96" s="46" t="str">
        <f>IF(COUNTA(A96:AD96)=0,"",IF(OR(H96="Povučeno",H96="Odbijeno",H96="Obustavljeno"),"Nije aktivno",IF(W96="","Nije određen",IF(OR(NOT(ISNUMBER(W96)),W96&lt;36526,W96&gt;73050),"Proveriti datum",IF(W96&lt;Pregled!$B$7,"Kasni",IF(W96&lt;=Pregled!$B$7+Pregled!$F$7,"Uskoro","U roku"))))))</f>
        <v/>
      </c>
      <c r="AF96" s="46" t="str">
        <f>IF(COUNTA(A96:AD96)=0,"",IF(A96="","Nedostaje ID",IF(COUNTIFS($A$8:$A$207,A96)&gt;1,"Duplikat ID",IF(OR(B96="",E96="",G96="",COUNTIF(Liste!$B$7:$B$13,H96)=0),"Dopuniti osnovno","Popunjeno"))))</f>
        <v/>
      </c>
      <c r="AG96" s="46" t="str">
        <f>IF(COUNTA(A96:AD96)=0,"",IF(NOT(OR(H96="Pilot",H96="Uslovno odobreno",H96="Odobreno")),"Nije aktivna odluka",IF(OR(K96="",N96="",O96="",P96="",Q96="",R96="",S96="",T96="",U96="",V96="",W96="",X96=""),"Dopuniti evidenciju",IF(OR(NOT(ISNUMBER(V96)),NOT(ISNUMBER(W96))),"Proveriti datume",IF(OR(V96&lt;36526,V96&gt;73050,W96&lt;36526,W96&gt;73050,V96&gt;Pregled!$B$7,W96&lt;V96),"Proveriti datume","Evidentirano")))))</f>
        <v/>
      </c>
      <c r="AH96" s="47" t="str">
        <f>IF(AND(Z96="Da",AA96&lt;&gt;"",AB96&lt;&gt;"",AC96&lt;&gt;"",ISNUMBER(AD96),AD96&gt;=36526,AD96&lt;=73050,AD96&lt;=Pregled!$B$7,AF96="Popunjeno",AG96="Evidentirano",OR(H96="Pilot",H96="Uslovno odobreno",H96="Odobreno")),COUNT($AH$7:AH95)+1,"")</f>
        <v/>
      </c>
    </row>
    <row r="97" ht="54.0" customHeight="1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9"/>
      <c r="W97" s="39"/>
      <c r="X97" s="37"/>
      <c r="Y97" s="37"/>
      <c r="Z97" s="37"/>
      <c r="AA97" s="37"/>
      <c r="AB97" s="37"/>
      <c r="AC97" s="37"/>
      <c r="AD97" s="39"/>
      <c r="AE97" s="46" t="str">
        <f>IF(COUNTA(A97:AD97)=0,"",IF(OR(H97="Povučeno",H97="Odbijeno",H97="Obustavljeno"),"Nije aktivno",IF(W97="","Nije određen",IF(OR(NOT(ISNUMBER(W97)),W97&lt;36526,W97&gt;73050),"Proveriti datum",IF(W97&lt;Pregled!$B$7,"Kasni",IF(W97&lt;=Pregled!$B$7+Pregled!$F$7,"Uskoro","U roku"))))))</f>
        <v/>
      </c>
      <c r="AF97" s="46" t="str">
        <f>IF(COUNTA(A97:AD97)=0,"",IF(A97="","Nedostaje ID",IF(COUNTIFS($A$8:$A$207,A97)&gt;1,"Duplikat ID",IF(OR(B97="",E97="",G97="",COUNTIF(Liste!$B$7:$B$13,H97)=0),"Dopuniti osnovno","Popunjeno"))))</f>
        <v/>
      </c>
      <c r="AG97" s="46" t="str">
        <f>IF(COUNTA(A97:AD97)=0,"",IF(NOT(OR(H97="Pilot",H97="Uslovno odobreno",H97="Odobreno")),"Nije aktivna odluka",IF(OR(K97="",N97="",O97="",P97="",Q97="",R97="",S97="",T97="",U97="",V97="",W97="",X97=""),"Dopuniti evidenciju",IF(OR(NOT(ISNUMBER(V97)),NOT(ISNUMBER(W97))),"Proveriti datume",IF(OR(V97&lt;36526,V97&gt;73050,W97&lt;36526,W97&gt;73050,V97&gt;Pregled!$B$7,W97&lt;V97),"Proveriti datume","Evidentirano")))))</f>
        <v/>
      </c>
      <c r="AH97" s="47" t="str">
        <f>IF(AND(Z97="Da",AA97&lt;&gt;"",AB97&lt;&gt;"",AC97&lt;&gt;"",ISNUMBER(AD97),AD97&gt;=36526,AD97&lt;=73050,AD97&lt;=Pregled!$B$7,AF97="Popunjeno",AG97="Evidentirano",OR(H97="Pilot",H97="Uslovno odobreno",H97="Odobreno")),COUNT($AH$7:AH96)+1,"")</f>
        <v/>
      </c>
    </row>
    <row r="98" ht="54.0" customHeight="1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9"/>
      <c r="W98" s="39"/>
      <c r="X98" s="37"/>
      <c r="Y98" s="37"/>
      <c r="Z98" s="37"/>
      <c r="AA98" s="37"/>
      <c r="AB98" s="37"/>
      <c r="AC98" s="37"/>
      <c r="AD98" s="39"/>
      <c r="AE98" s="46" t="str">
        <f>IF(COUNTA(A98:AD98)=0,"",IF(OR(H98="Povučeno",H98="Odbijeno",H98="Obustavljeno"),"Nije aktivno",IF(W98="","Nije određen",IF(OR(NOT(ISNUMBER(W98)),W98&lt;36526,W98&gt;73050),"Proveriti datum",IF(W98&lt;Pregled!$B$7,"Kasni",IF(W98&lt;=Pregled!$B$7+Pregled!$F$7,"Uskoro","U roku"))))))</f>
        <v/>
      </c>
      <c r="AF98" s="46" t="str">
        <f>IF(COUNTA(A98:AD98)=0,"",IF(A98="","Nedostaje ID",IF(COUNTIFS($A$8:$A$207,A98)&gt;1,"Duplikat ID",IF(OR(B98="",E98="",G98="",COUNTIF(Liste!$B$7:$B$13,H98)=0),"Dopuniti osnovno","Popunjeno"))))</f>
        <v/>
      </c>
      <c r="AG98" s="46" t="str">
        <f>IF(COUNTA(A98:AD98)=0,"",IF(NOT(OR(H98="Pilot",H98="Uslovno odobreno",H98="Odobreno")),"Nije aktivna odluka",IF(OR(K98="",N98="",O98="",P98="",Q98="",R98="",S98="",T98="",U98="",V98="",W98="",X98=""),"Dopuniti evidenciju",IF(OR(NOT(ISNUMBER(V98)),NOT(ISNUMBER(W98))),"Proveriti datume",IF(OR(V98&lt;36526,V98&gt;73050,W98&lt;36526,W98&gt;73050,V98&gt;Pregled!$B$7,W98&lt;V98),"Proveriti datume","Evidentirano")))))</f>
        <v/>
      </c>
      <c r="AH98" s="47" t="str">
        <f>IF(AND(Z98="Da",AA98&lt;&gt;"",AB98&lt;&gt;"",AC98&lt;&gt;"",ISNUMBER(AD98),AD98&gt;=36526,AD98&lt;=73050,AD98&lt;=Pregled!$B$7,AF98="Popunjeno",AG98="Evidentirano",OR(H98="Pilot",H98="Uslovno odobreno",H98="Odobreno")),COUNT($AH$7:AH97)+1,"")</f>
        <v/>
      </c>
    </row>
    <row r="99" ht="54.0" customHeight="1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9"/>
      <c r="W99" s="39"/>
      <c r="X99" s="37"/>
      <c r="Y99" s="37"/>
      <c r="Z99" s="37"/>
      <c r="AA99" s="37"/>
      <c r="AB99" s="37"/>
      <c r="AC99" s="37"/>
      <c r="AD99" s="39"/>
      <c r="AE99" s="46" t="str">
        <f>IF(COUNTA(A99:AD99)=0,"",IF(OR(H99="Povučeno",H99="Odbijeno",H99="Obustavljeno"),"Nije aktivno",IF(W99="","Nije određen",IF(OR(NOT(ISNUMBER(W99)),W99&lt;36526,W99&gt;73050),"Proveriti datum",IF(W99&lt;Pregled!$B$7,"Kasni",IF(W99&lt;=Pregled!$B$7+Pregled!$F$7,"Uskoro","U roku"))))))</f>
        <v/>
      </c>
      <c r="AF99" s="46" t="str">
        <f>IF(COUNTA(A99:AD99)=0,"",IF(A99="","Nedostaje ID",IF(COUNTIFS($A$8:$A$207,A99)&gt;1,"Duplikat ID",IF(OR(B99="",E99="",G99="",COUNTIF(Liste!$B$7:$B$13,H99)=0),"Dopuniti osnovno","Popunjeno"))))</f>
        <v/>
      </c>
      <c r="AG99" s="46" t="str">
        <f>IF(COUNTA(A99:AD99)=0,"",IF(NOT(OR(H99="Pilot",H99="Uslovno odobreno",H99="Odobreno")),"Nije aktivna odluka",IF(OR(K99="",N99="",O99="",P99="",Q99="",R99="",S99="",T99="",U99="",V99="",W99="",X99=""),"Dopuniti evidenciju",IF(OR(NOT(ISNUMBER(V99)),NOT(ISNUMBER(W99))),"Proveriti datume",IF(OR(V99&lt;36526,V99&gt;73050,W99&lt;36526,W99&gt;73050,V99&gt;Pregled!$B$7,W99&lt;V99),"Proveriti datume","Evidentirano")))))</f>
        <v/>
      </c>
      <c r="AH99" s="47" t="str">
        <f>IF(AND(Z99="Da",AA99&lt;&gt;"",AB99&lt;&gt;"",AC99&lt;&gt;"",ISNUMBER(AD99),AD99&gt;=36526,AD99&lt;=73050,AD99&lt;=Pregled!$B$7,AF99="Popunjeno",AG99="Evidentirano",OR(H99="Pilot",H99="Uslovno odobreno",H99="Odobreno")),COUNT($AH$7:AH98)+1,"")</f>
        <v/>
      </c>
    </row>
    <row r="100" ht="54.0" customHeight="1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9"/>
      <c r="W100" s="39"/>
      <c r="X100" s="37"/>
      <c r="Y100" s="37"/>
      <c r="Z100" s="37"/>
      <c r="AA100" s="37"/>
      <c r="AB100" s="37"/>
      <c r="AC100" s="37"/>
      <c r="AD100" s="39"/>
      <c r="AE100" s="46" t="str">
        <f>IF(COUNTA(A100:AD100)=0,"",IF(OR(H100="Povučeno",H100="Odbijeno",H100="Obustavljeno"),"Nije aktivno",IF(W100="","Nije određen",IF(OR(NOT(ISNUMBER(W100)),W100&lt;36526,W100&gt;73050),"Proveriti datum",IF(W100&lt;Pregled!$B$7,"Kasni",IF(W100&lt;=Pregled!$B$7+Pregled!$F$7,"Uskoro","U roku"))))))</f>
        <v/>
      </c>
      <c r="AF100" s="46" t="str">
        <f>IF(COUNTA(A100:AD100)=0,"",IF(A100="","Nedostaje ID",IF(COUNTIFS($A$8:$A$207,A100)&gt;1,"Duplikat ID",IF(OR(B100="",E100="",G100="",COUNTIF(Liste!$B$7:$B$13,H100)=0),"Dopuniti osnovno","Popunjeno"))))</f>
        <v/>
      </c>
      <c r="AG100" s="46" t="str">
        <f>IF(COUNTA(A100:AD100)=0,"",IF(NOT(OR(H100="Pilot",H100="Uslovno odobreno",H100="Odobreno")),"Nije aktivna odluka",IF(OR(K100="",N100="",O100="",P100="",Q100="",R100="",S100="",T100="",U100="",V100="",W100="",X100=""),"Dopuniti evidenciju",IF(OR(NOT(ISNUMBER(V100)),NOT(ISNUMBER(W100))),"Proveriti datume",IF(OR(V100&lt;36526,V100&gt;73050,W100&lt;36526,W100&gt;73050,V100&gt;Pregled!$B$7,W100&lt;V100),"Proveriti datume","Evidentirano")))))</f>
        <v/>
      </c>
      <c r="AH100" s="47" t="str">
        <f>IF(AND(Z100="Da",AA100&lt;&gt;"",AB100&lt;&gt;"",AC100&lt;&gt;"",ISNUMBER(AD100),AD100&gt;=36526,AD100&lt;=73050,AD100&lt;=Pregled!$B$7,AF100="Popunjeno",AG100="Evidentirano",OR(H100="Pilot",H100="Uslovno odobreno",H100="Odobreno")),COUNT($AH$7:AH99)+1,"")</f>
        <v/>
      </c>
    </row>
    <row r="101" ht="54.0" customHeight="1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9"/>
      <c r="W101" s="39"/>
      <c r="X101" s="37"/>
      <c r="Y101" s="37"/>
      <c r="Z101" s="37"/>
      <c r="AA101" s="37"/>
      <c r="AB101" s="37"/>
      <c r="AC101" s="37"/>
      <c r="AD101" s="39"/>
      <c r="AE101" s="46" t="str">
        <f>IF(COUNTA(A101:AD101)=0,"",IF(OR(H101="Povučeno",H101="Odbijeno",H101="Obustavljeno"),"Nije aktivno",IF(W101="","Nije određen",IF(OR(NOT(ISNUMBER(W101)),W101&lt;36526,W101&gt;73050),"Proveriti datum",IF(W101&lt;Pregled!$B$7,"Kasni",IF(W101&lt;=Pregled!$B$7+Pregled!$F$7,"Uskoro","U roku"))))))</f>
        <v/>
      </c>
      <c r="AF101" s="46" t="str">
        <f>IF(COUNTA(A101:AD101)=0,"",IF(A101="","Nedostaje ID",IF(COUNTIFS($A$8:$A$207,A101)&gt;1,"Duplikat ID",IF(OR(B101="",E101="",G101="",COUNTIF(Liste!$B$7:$B$13,H101)=0),"Dopuniti osnovno","Popunjeno"))))</f>
        <v/>
      </c>
      <c r="AG101" s="46" t="str">
        <f>IF(COUNTA(A101:AD101)=0,"",IF(NOT(OR(H101="Pilot",H101="Uslovno odobreno",H101="Odobreno")),"Nije aktivna odluka",IF(OR(K101="",N101="",O101="",P101="",Q101="",R101="",S101="",T101="",U101="",V101="",W101="",X101=""),"Dopuniti evidenciju",IF(OR(NOT(ISNUMBER(V101)),NOT(ISNUMBER(W101))),"Proveriti datume",IF(OR(V101&lt;36526,V101&gt;73050,W101&lt;36526,W101&gt;73050,V101&gt;Pregled!$B$7,W101&lt;V101),"Proveriti datume","Evidentirano")))))</f>
        <v/>
      </c>
      <c r="AH101" s="47" t="str">
        <f>IF(AND(Z101="Da",AA101&lt;&gt;"",AB101&lt;&gt;"",AC101&lt;&gt;"",ISNUMBER(AD101),AD101&gt;=36526,AD101&lt;=73050,AD101&lt;=Pregled!$B$7,AF101="Popunjeno",AG101="Evidentirano",OR(H101="Pilot",H101="Uslovno odobreno",H101="Odobreno")),COUNT($AH$7:AH100)+1,"")</f>
        <v/>
      </c>
    </row>
    <row r="102" ht="54.0" customHeight="1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9"/>
      <c r="W102" s="39"/>
      <c r="X102" s="37"/>
      <c r="Y102" s="37"/>
      <c r="Z102" s="37"/>
      <c r="AA102" s="37"/>
      <c r="AB102" s="37"/>
      <c r="AC102" s="37"/>
      <c r="AD102" s="39"/>
      <c r="AE102" s="46" t="str">
        <f>IF(COUNTA(A102:AD102)=0,"",IF(OR(H102="Povučeno",H102="Odbijeno",H102="Obustavljeno"),"Nije aktivno",IF(W102="","Nije određen",IF(OR(NOT(ISNUMBER(W102)),W102&lt;36526,W102&gt;73050),"Proveriti datum",IF(W102&lt;Pregled!$B$7,"Kasni",IF(W102&lt;=Pregled!$B$7+Pregled!$F$7,"Uskoro","U roku"))))))</f>
        <v/>
      </c>
      <c r="AF102" s="46" t="str">
        <f>IF(COUNTA(A102:AD102)=0,"",IF(A102="","Nedostaje ID",IF(COUNTIFS($A$8:$A$207,A102)&gt;1,"Duplikat ID",IF(OR(B102="",E102="",G102="",COUNTIF(Liste!$B$7:$B$13,H102)=0),"Dopuniti osnovno","Popunjeno"))))</f>
        <v/>
      </c>
      <c r="AG102" s="46" t="str">
        <f>IF(COUNTA(A102:AD102)=0,"",IF(NOT(OR(H102="Pilot",H102="Uslovno odobreno",H102="Odobreno")),"Nije aktivna odluka",IF(OR(K102="",N102="",O102="",P102="",Q102="",R102="",S102="",T102="",U102="",V102="",W102="",X102=""),"Dopuniti evidenciju",IF(OR(NOT(ISNUMBER(V102)),NOT(ISNUMBER(W102))),"Proveriti datume",IF(OR(V102&lt;36526,V102&gt;73050,W102&lt;36526,W102&gt;73050,V102&gt;Pregled!$B$7,W102&lt;V102),"Proveriti datume","Evidentirano")))))</f>
        <v/>
      </c>
      <c r="AH102" s="47" t="str">
        <f>IF(AND(Z102="Da",AA102&lt;&gt;"",AB102&lt;&gt;"",AC102&lt;&gt;"",ISNUMBER(AD102),AD102&gt;=36526,AD102&lt;=73050,AD102&lt;=Pregled!$B$7,AF102="Popunjeno",AG102="Evidentirano",OR(H102="Pilot",H102="Uslovno odobreno",H102="Odobreno")),COUNT($AH$7:AH101)+1,"")</f>
        <v/>
      </c>
    </row>
    <row r="103" ht="54.0" customHeight="1">
      <c r="A103" s="36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9"/>
      <c r="W103" s="39"/>
      <c r="X103" s="37"/>
      <c r="Y103" s="37"/>
      <c r="Z103" s="37"/>
      <c r="AA103" s="37"/>
      <c r="AB103" s="37"/>
      <c r="AC103" s="37"/>
      <c r="AD103" s="39"/>
      <c r="AE103" s="46" t="str">
        <f>IF(COUNTA(A103:AD103)=0,"",IF(OR(H103="Povučeno",H103="Odbijeno",H103="Obustavljeno"),"Nije aktivno",IF(W103="","Nije određen",IF(OR(NOT(ISNUMBER(W103)),W103&lt;36526,W103&gt;73050),"Proveriti datum",IF(W103&lt;Pregled!$B$7,"Kasni",IF(W103&lt;=Pregled!$B$7+Pregled!$F$7,"Uskoro","U roku"))))))</f>
        <v/>
      </c>
      <c r="AF103" s="46" t="str">
        <f>IF(COUNTA(A103:AD103)=0,"",IF(A103="","Nedostaje ID",IF(COUNTIFS($A$8:$A$207,A103)&gt;1,"Duplikat ID",IF(OR(B103="",E103="",G103="",COUNTIF(Liste!$B$7:$B$13,H103)=0),"Dopuniti osnovno","Popunjeno"))))</f>
        <v/>
      </c>
      <c r="AG103" s="46" t="str">
        <f>IF(COUNTA(A103:AD103)=0,"",IF(NOT(OR(H103="Pilot",H103="Uslovno odobreno",H103="Odobreno")),"Nije aktivna odluka",IF(OR(K103="",N103="",O103="",P103="",Q103="",R103="",S103="",T103="",U103="",V103="",W103="",X103=""),"Dopuniti evidenciju",IF(OR(NOT(ISNUMBER(V103)),NOT(ISNUMBER(W103))),"Proveriti datume",IF(OR(V103&lt;36526,V103&gt;73050,W103&lt;36526,W103&gt;73050,V103&gt;Pregled!$B$7,W103&lt;V103),"Proveriti datume","Evidentirano")))))</f>
        <v/>
      </c>
      <c r="AH103" s="47" t="str">
        <f>IF(AND(Z103="Da",AA103&lt;&gt;"",AB103&lt;&gt;"",AC103&lt;&gt;"",ISNUMBER(AD103),AD103&gt;=36526,AD103&lt;=73050,AD103&lt;=Pregled!$B$7,AF103="Popunjeno",AG103="Evidentirano",OR(H103="Pilot",H103="Uslovno odobreno",H103="Odobreno")),COUNT($AH$7:AH102)+1,"")</f>
        <v/>
      </c>
    </row>
    <row r="104" ht="54.0" customHeight="1">
      <c r="A104" s="36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9"/>
      <c r="W104" s="39"/>
      <c r="X104" s="37"/>
      <c r="Y104" s="37"/>
      <c r="Z104" s="37"/>
      <c r="AA104" s="37"/>
      <c r="AB104" s="37"/>
      <c r="AC104" s="37"/>
      <c r="AD104" s="39"/>
      <c r="AE104" s="46" t="str">
        <f>IF(COUNTA(A104:AD104)=0,"",IF(OR(H104="Povučeno",H104="Odbijeno",H104="Obustavljeno"),"Nije aktivno",IF(W104="","Nije određen",IF(OR(NOT(ISNUMBER(W104)),W104&lt;36526,W104&gt;73050),"Proveriti datum",IF(W104&lt;Pregled!$B$7,"Kasni",IF(W104&lt;=Pregled!$B$7+Pregled!$F$7,"Uskoro","U roku"))))))</f>
        <v/>
      </c>
      <c r="AF104" s="46" t="str">
        <f>IF(COUNTA(A104:AD104)=0,"",IF(A104="","Nedostaje ID",IF(COUNTIFS($A$8:$A$207,A104)&gt;1,"Duplikat ID",IF(OR(B104="",E104="",G104="",COUNTIF(Liste!$B$7:$B$13,H104)=0),"Dopuniti osnovno","Popunjeno"))))</f>
        <v/>
      </c>
      <c r="AG104" s="46" t="str">
        <f>IF(COUNTA(A104:AD104)=0,"",IF(NOT(OR(H104="Pilot",H104="Uslovno odobreno",H104="Odobreno")),"Nije aktivna odluka",IF(OR(K104="",N104="",O104="",P104="",Q104="",R104="",S104="",T104="",U104="",V104="",W104="",X104=""),"Dopuniti evidenciju",IF(OR(NOT(ISNUMBER(V104)),NOT(ISNUMBER(W104))),"Proveriti datume",IF(OR(V104&lt;36526,V104&gt;73050,W104&lt;36526,W104&gt;73050,V104&gt;Pregled!$B$7,W104&lt;V104),"Proveriti datume","Evidentirano")))))</f>
        <v/>
      </c>
      <c r="AH104" s="47" t="str">
        <f>IF(AND(Z104="Da",AA104&lt;&gt;"",AB104&lt;&gt;"",AC104&lt;&gt;"",ISNUMBER(AD104),AD104&gt;=36526,AD104&lt;=73050,AD104&lt;=Pregled!$B$7,AF104="Popunjeno",AG104="Evidentirano",OR(H104="Pilot",H104="Uslovno odobreno",H104="Odobreno")),COUNT($AH$7:AH103)+1,"")</f>
        <v/>
      </c>
    </row>
    <row r="105" ht="54.0" customHeight="1">
      <c r="A105" s="36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9"/>
      <c r="W105" s="39"/>
      <c r="X105" s="37"/>
      <c r="Y105" s="37"/>
      <c r="Z105" s="37"/>
      <c r="AA105" s="37"/>
      <c r="AB105" s="37"/>
      <c r="AC105" s="37"/>
      <c r="AD105" s="39"/>
      <c r="AE105" s="46" t="str">
        <f>IF(COUNTA(A105:AD105)=0,"",IF(OR(H105="Povučeno",H105="Odbijeno",H105="Obustavljeno"),"Nije aktivno",IF(W105="","Nije određen",IF(OR(NOT(ISNUMBER(W105)),W105&lt;36526,W105&gt;73050),"Proveriti datum",IF(W105&lt;Pregled!$B$7,"Kasni",IF(W105&lt;=Pregled!$B$7+Pregled!$F$7,"Uskoro","U roku"))))))</f>
        <v/>
      </c>
      <c r="AF105" s="46" t="str">
        <f>IF(COUNTA(A105:AD105)=0,"",IF(A105="","Nedostaje ID",IF(COUNTIFS($A$8:$A$207,A105)&gt;1,"Duplikat ID",IF(OR(B105="",E105="",G105="",COUNTIF(Liste!$B$7:$B$13,H105)=0),"Dopuniti osnovno","Popunjeno"))))</f>
        <v/>
      </c>
      <c r="AG105" s="46" t="str">
        <f>IF(COUNTA(A105:AD105)=0,"",IF(NOT(OR(H105="Pilot",H105="Uslovno odobreno",H105="Odobreno")),"Nije aktivna odluka",IF(OR(K105="",N105="",O105="",P105="",Q105="",R105="",S105="",T105="",U105="",V105="",W105="",X105=""),"Dopuniti evidenciju",IF(OR(NOT(ISNUMBER(V105)),NOT(ISNUMBER(W105))),"Proveriti datume",IF(OR(V105&lt;36526,V105&gt;73050,W105&lt;36526,W105&gt;73050,V105&gt;Pregled!$B$7,W105&lt;V105),"Proveriti datume","Evidentirano")))))</f>
        <v/>
      </c>
      <c r="AH105" s="47" t="str">
        <f>IF(AND(Z105="Da",AA105&lt;&gt;"",AB105&lt;&gt;"",AC105&lt;&gt;"",ISNUMBER(AD105),AD105&gt;=36526,AD105&lt;=73050,AD105&lt;=Pregled!$B$7,AF105="Popunjeno",AG105="Evidentirano",OR(H105="Pilot",H105="Uslovno odobreno",H105="Odobreno")),COUNT($AH$7:AH104)+1,"")</f>
        <v/>
      </c>
    </row>
    <row r="106" ht="54.0" customHeight="1">
      <c r="A106" s="36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9"/>
      <c r="W106" s="39"/>
      <c r="X106" s="37"/>
      <c r="Y106" s="37"/>
      <c r="Z106" s="37"/>
      <c r="AA106" s="37"/>
      <c r="AB106" s="37"/>
      <c r="AC106" s="37"/>
      <c r="AD106" s="39"/>
      <c r="AE106" s="46" t="str">
        <f>IF(COUNTA(A106:AD106)=0,"",IF(OR(H106="Povučeno",H106="Odbijeno",H106="Obustavljeno"),"Nije aktivno",IF(W106="","Nije određen",IF(OR(NOT(ISNUMBER(W106)),W106&lt;36526,W106&gt;73050),"Proveriti datum",IF(W106&lt;Pregled!$B$7,"Kasni",IF(W106&lt;=Pregled!$B$7+Pregled!$F$7,"Uskoro","U roku"))))))</f>
        <v/>
      </c>
      <c r="AF106" s="46" t="str">
        <f>IF(COUNTA(A106:AD106)=0,"",IF(A106="","Nedostaje ID",IF(COUNTIFS($A$8:$A$207,A106)&gt;1,"Duplikat ID",IF(OR(B106="",E106="",G106="",COUNTIF(Liste!$B$7:$B$13,H106)=0),"Dopuniti osnovno","Popunjeno"))))</f>
        <v/>
      </c>
      <c r="AG106" s="46" t="str">
        <f>IF(COUNTA(A106:AD106)=0,"",IF(NOT(OR(H106="Pilot",H106="Uslovno odobreno",H106="Odobreno")),"Nije aktivna odluka",IF(OR(K106="",N106="",O106="",P106="",Q106="",R106="",S106="",T106="",U106="",V106="",W106="",X106=""),"Dopuniti evidenciju",IF(OR(NOT(ISNUMBER(V106)),NOT(ISNUMBER(W106))),"Proveriti datume",IF(OR(V106&lt;36526,V106&gt;73050,W106&lt;36526,W106&gt;73050,V106&gt;Pregled!$B$7,W106&lt;V106),"Proveriti datume","Evidentirano")))))</f>
        <v/>
      </c>
      <c r="AH106" s="47" t="str">
        <f>IF(AND(Z106="Da",AA106&lt;&gt;"",AB106&lt;&gt;"",AC106&lt;&gt;"",ISNUMBER(AD106),AD106&gt;=36526,AD106&lt;=73050,AD106&lt;=Pregled!$B$7,AF106="Popunjeno",AG106="Evidentirano",OR(H106="Pilot",H106="Uslovno odobreno",H106="Odobreno")),COUNT($AH$7:AH105)+1,"")</f>
        <v/>
      </c>
    </row>
    <row r="107" ht="54.0" customHeight="1">
      <c r="A107" s="36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9"/>
      <c r="W107" s="39"/>
      <c r="X107" s="37"/>
      <c r="Y107" s="37"/>
      <c r="Z107" s="37"/>
      <c r="AA107" s="37"/>
      <c r="AB107" s="37"/>
      <c r="AC107" s="37"/>
      <c r="AD107" s="39"/>
      <c r="AE107" s="46" t="str">
        <f>IF(COUNTA(A107:AD107)=0,"",IF(OR(H107="Povučeno",H107="Odbijeno",H107="Obustavljeno"),"Nije aktivno",IF(W107="","Nije određen",IF(OR(NOT(ISNUMBER(W107)),W107&lt;36526,W107&gt;73050),"Proveriti datum",IF(W107&lt;Pregled!$B$7,"Kasni",IF(W107&lt;=Pregled!$B$7+Pregled!$F$7,"Uskoro","U roku"))))))</f>
        <v/>
      </c>
      <c r="AF107" s="46" t="str">
        <f>IF(COUNTA(A107:AD107)=0,"",IF(A107="","Nedostaje ID",IF(COUNTIFS($A$8:$A$207,A107)&gt;1,"Duplikat ID",IF(OR(B107="",E107="",G107="",COUNTIF(Liste!$B$7:$B$13,H107)=0),"Dopuniti osnovno","Popunjeno"))))</f>
        <v/>
      </c>
      <c r="AG107" s="46" t="str">
        <f>IF(COUNTA(A107:AD107)=0,"",IF(NOT(OR(H107="Pilot",H107="Uslovno odobreno",H107="Odobreno")),"Nije aktivna odluka",IF(OR(K107="",N107="",O107="",P107="",Q107="",R107="",S107="",T107="",U107="",V107="",W107="",X107=""),"Dopuniti evidenciju",IF(OR(NOT(ISNUMBER(V107)),NOT(ISNUMBER(W107))),"Proveriti datume",IF(OR(V107&lt;36526,V107&gt;73050,W107&lt;36526,W107&gt;73050,V107&gt;Pregled!$B$7,W107&lt;V107),"Proveriti datume","Evidentirano")))))</f>
        <v/>
      </c>
      <c r="AH107" s="47" t="str">
        <f>IF(AND(Z107="Da",AA107&lt;&gt;"",AB107&lt;&gt;"",AC107&lt;&gt;"",ISNUMBER(AD107),AD107&gt;=36526,AD107&lt;=73050,AD107&lt;=Pregled!$B$7,AF107="Popunjeno",AG107="Evidentirano",OR(H107="Pilot",H107="Uslovno odobreno",H107="Odobreno")),COUNT($AH$7:AH106)+1,"")</f>
        <v/>
      </c>
    </row>
    <row r="108" ht="54.0" customHeight="1">
      <c r="A108" s="36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9"/>
      <c r="W108" s="39"/>
      <c r="X108" s="37"/>
      <c r="Y108" s="37"/>
      <c r="Z108" s="37"/>
      <c r="AA108" s="37"/>
      <c r="AB108" s="37"/>
      <c r="AC108" s="37"/>
      <c r="AD108" s="39"/>
      <c r="AE108" s="46" t="str">
        <f>IF(COUNTA(A108:AD108)=0,"",IF(OR(H108="Povučeno",H108="Odbijeno",H108="Obustavljeno"),"Nije aktivno",IF(W108="","Nije određen",IF(OR(NOT(ISNUMBER(W108)),W108&lt;36526,W108&gt;73050),"Proveriti datum",IF(W108&lt;Pregled!$B$7,"Kasni",IF(W108&lt;=Pregled!$B$7+Pregled!$F$7,"Uskoro","U roku"))))))</f>
        <v/>
      </c>
      <c r="AF108" s="46" t="str">
        <f>IF(COUNTA(A108:AD108)=0,"",IF(A108="","Nedostaje ID",IF(COUNTIFS($A$8:$A$207,A108)&gt;1,"Duplikat ID",IF(OR(B108="",E108="",G108="",COUNTIF(Liste!$B$7:$B$13,H108)=0),"Dopuniti osnovno","Popunjeno"))))</f>
        <v/>
      </c>
      <c r="AG108" s="46" t="str">
        <f>IF(COUNTA(A108:AD108)=0,"",IF(NOT(OR(H108="Pilot",H108="Uslovno odobreno",H108="Odobreno")),"Nije aktivna odluka",IF(OR(K108="",N108="",O108="",P108="",Q108="",R108="",S108="",T108="",U108="",V108="",W108="",X108=""),"Dopuniti evidenciju",IF(OR(NOT(ISNUMBER(V108)),NOT(ISNUMBER(W108))),"Proveriti datume",IF(OR(V108&lt;36526,V108&gt;73050,W108&lt;36526,W108&gt;73050,V108&gt;Pregled!$B$7,W108&lt;V108),"Proveriti datume","Evidentirano")))))</f>
        <v/>
      </c>
      <c r="AH108" s="47" t="str">
        <f>IF(AND(Z108="Da",AA108&lt;&gt;"",AB108&lt;&gt;"",AC108&lt;&gt;"",ISNUMBER(AD108),AD108&gt;=36526,AD108&lt;=73050,AD108&lt;=Pregled!$B$7,AF108="Popunjeno",AG108="Evidentirano",OR(H108="Pilot",H108="Uslovno odobreno",H108="Odobreno")),COUNT($AH$7:AH107)+1,"")</f>
        <v/>
      </c>
    </row>
    <row r="109" ht="54.0" customHeight="1">
      <c r="A109" s="36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9"/>
      <c r="W109" s="39"/>
      <c r="X109" s="37"/>
      <c r="Y109" s="37"/>
      <c r="Z109" s="37"/>
      <c r="AA109" s="37"/>
      <c r="AB109" s="37"/>
      <c r="AC109" s="37"/>
      <c r="AD109" s="39"/>
      <c r="AE109" s="46" t="str">
        <f>IF(COUNTA(A109:AD109)=0,"",IF(OR(H109="Povučeno",H109="Odbijeno",H109="Obustavljeno"),"Nije aktivno",IF(W109="","Nije određen",IF(OR(NOT(ISNUMBER(W109)),W109&lt;36526,W109&gt;73050),"Proveriti datum",IF(W109&lt;Pregled!$B$7,"Kasni",IF(W109&lt;=Pregled!$B$7+Pregled!$F$7,"Uskoro","U roku"))))))</f>
        <v/>
      </c>
      <c r="AF109" s="46" t="str">
        <f>IF(COUNTA(A109:AD109)=0,"",IF(A109="","Nedostaje ID",IF(COUNTIFS($A$8:$A$207,A109)&gt;1,"Duplikat ID",IF(OR(B109="",E109="",G109="",COUNTIF(Liste!$B$7:$B$13,H109)=0),"Dopuniti osnovno","Popunjeno"))))</f>
        <v/>
      </c>
      <c r="AG109" s="46" t="str">
        <f>IF(COUNTA(A109:AD109)=0,"",IF(NOT(OR(H109="Pilot",H109="Uslovno odobreno",H109="Odobreno")),"Nije aktivna odluka",IF(OR(K109="",N109="",O109="",P109="",Q109="",R109="",S109="",T109="",U109="",V109="",W109="",X109=""),"Dopuniti evidenciju",IF(OR(NOT(ISNUMBER(V109)),NOT(ISNUMBER(W109))),"Proveriti datume",IF(OR(V109&lt;36526,V109&gt;73050,W109&lt;36526,W109&gt;73050,V109&gt;Pregled!$B$7,W109&lt;V109),"Proveriti datume","Evidentirano")))))</f>
        <v/>
      </c>
      <c r="AH109" s="47" t="str">
        <f>IF(AND(Z109="Da",AA109&lt;&gt;"",AB109&lt;&gt;"",AC109&lt;&gt;"",ISNUMBER(AD109),AD109&gt;=36526,AD109&lt;=73050,AD109&lt;=Pregled!$B$7,AF109="Popunjeno",AG109="Evidentirano",OR(H109="Pilot",H109="Uslovno odobreno",H109="Odobreno")),COUNT($AH$7:AH108)+1,"")</f>
        <v/>
      </c>
    </row>
    <row r="110" ht="54.0" customHeight="1">
      <c r="A110" s="36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9"/>
      <c r="W110" s="39"/>
      <c r="X110" s="37"/>
      <c r="Y110" s="37"/>
      <c r="Z110" s="37"/>
      <c r="AA110" s="37"/>
      <c r="AB110" s="37"/>
      <c r="AC110" s="37"/>
      <c r="AD110" s="39"/>
      <c r="AE110" s="46" t="str">
        <f>IF(COUNTA(A110:AD110)=0,"",IF(OR(H110="Povučeno",H110="Odbijeno",H110="Obustavljeno"),"Nije aktivno",IF(W110="","Nije određen",IF(OR(NOT(ISNUMBER(W110)),W110&lt;36526,W110&gt;73050),"Proveriti datum",IF(W110&lt;Pregled!$B$7,"Kasni",IF(W110&lt;=Pregled!$B$7+Pregled!$F$7,"Uskoro","U roku"))))))</f>
        <v/>
      </c>
      <c r="AF110" s="46" t="str">
        <f>IF(COUNTA(A110:AD110)=0,"",IF(A110="","Nedostaje ID",IF(COUNTIFS($A$8:$A$207,A110)&gt;1,"Duplikat ID",IF(OR(B110="",E110="",G110="",COUNTIF(Liste!$B$7:$B$13,H110)=0),"Dopuniti osnovno","Popunjeno"))))</f>
        <v/>
      </c>
      <c r="AG110" s="46" t="str">
        <f>IF(COUNTA(A110:AD110)=0,"",IF(NOT(OR(H110="Pilot",H110="Uslovno odobreno",H110="Odobreno")),"Nije aktivna odluka",IF(OR(K110="",N110="",O110="",P110="",Q110="",R110="",S110="",T110="",U110="",V110="",W110="",X110=""),"Dopuniti evidenciju",IF(OR(NOT(ISNUMBER(V110)),NOT(ISNUMBER(W110))),"Proveriti datume",IF(OR(V110&lt;36526,V110&gt;73050,W110&lt;36526,W110&gt;73050,V110&gt;Pregled!$B$7,W110&lt;V110),"Proveriti datume","Evidentirano")))))</f>
        <v/>
      </c>
      <c r="AH110" s="47" t="str">
        <f>IF(AND(Z110="Da",AA110&lt;&gt;"",AB110&lt;&gt;"",AC110&lt;&gt;"",ISNUMBER(AD110),AD110&gt;=36526,AD110&lt;=73050,AD110&lt;=Pregled!$B$7,AF110="Popunjeno",AG110="Evidentirano",OR(H110="Pilot",H110="Uslovno odobreno",H110="Odobreno")),COUNT($AH$7:AH109)+1,"")</f>
        <v/>
      </c>
    </row>
    <row r="111" ht="54.0" customHeight="1">
      <c r="A111" s="36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9"/>
      <c r="W111" s="39"/>
      <c r="X111" s="37"/>
      <c r="Y111" s="37"/>
      <c r="Z111" s="37"/>
      <c r="AA111" s="37"/>
      <c r="AB111" s="37"/>
      <c r="AC111" s="37"/>
      <c r="AD111" s="39"/>
      <c r="AE111" s="46" t="str">
        <f>IF(COUNTA(A111:AD111)=0,"",IF(OR(H111="Povučeno",H111="Odbijeno",H111="Obustavljeno"),"Nije aktivno",IF(W111="","Nije određen",IF(OR(NOT(ISNUMBER(W111)),W111&lt;36526,W111&gt;73050),"Proveriti datum",IF(W111&lt;Pregled!$B$7,"Kasni",IF(W111&lt;=Pregled!$B$7+Pregled!$F$7,"Uskoro","U roku"))))))</f>
        <v/>
      </c>
      <c r="AF111" s="46" t="str">
        <f>IF(COUNTA(A111:AD111)=0,"",IF(A111="","Nedostaje ID",IF(COUNTIFS($A$8:$A$207,A111)&gt;1,"Duplikat ID",IF(OR(B111="",E111="",G111="",COUNTIF(Liste!$B$7:$B$13,H111)=0),"Dopuniti osnovno","Popunjeno"))))</f>
        <v/>
      </c>
      <c r="AG111" s="46" t="str">
        <f>IF(COUNTA(A111:AD111)=0,"",IF(NOT(OR(H111="Pilot",H111="Uslovno odobreno",H111="Odobreno")),"Nije aktivna odluka",IF(OR(K111="",N111="",O111="",P111="",Q111="",R111="",S111="",T111="",U111="",V111="",W111="",X111=""),"Dopuniti evidenciju",IF(OR(NOT(ISNUMBER(V111)),NOT(ISNUMBER(W111))),"Proveriti datume",IF(OR(V111&lt;36526,V111&gt;73050,W111&lt;36526,W111&gt;73050,V111&gt;Pregled!$B$7,W111&lt;V111),"Proveriti datume","Evidentirano")))))</f>
        <v/>
      </c>
      <c r="AH111" s="47" t="str">
        <f>IF(AND(Z111="Da",AA111&lt;&gt;"",AB111&lt;&gt;"",AC111&lt;&gt;"",ISNUMBER(AD111),AD111&gt;=36526,AD111&lt;=73050,AD111&lt;=Pregled!$B$7,AF111="Popunjeno",AG111="Evidentirano",OR(H111="Pilot",H111="Uslovno odobreno",H111="Odobreno")),COUNT($AH$7:AH110)+1,"")</f>
        <v/>
      </c>
    </row>
    <row r="112" ht="54.0" customHeight="1">
      <c r="A112" s="36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9"/>
      <c r="W112" s="39"/>
      <c r="X112" s="37"/>
      <c r="Y112" s="37"/>
      <c r="Z112" s="37"/>
      <c r="AA112" s="37"/>
      <c r="AB112" s="37"/>
      <c r="AC112" s="37"/>
      <c r="AD112" s="39"/>
      <c r="AE112" s="46" t="str">
        <f>IF(COUNTA(A112:AD112)=0,"",IF(OR(H112="Povučeno",H112="Odbijeno",H112="Obustavljeno"),"Nije aktivno",IF(W112="","Nije određen",IF(OR(NOT(ISNUMBER(W112)),W112&lt;36526,W112&gt;73050),"Proveriti datum",IF(W112&lt;Pregled!$B$7,"Kasni",IF(W112&lt;=Pregled!$B$7+Pregled!$F$7,"Uskoro","U roku"))))))</f>
        <v/>
      </c>
      <c r="AF112" s="46" t="str">
        <f>IF(COUNTA(A112:AD112)=0,"",IF(A112="","Nedostaje ID",IF(COUNTIFS($A$8:$A$207,A112)&gt;1,"Duplikat ID",IF(OR(B112="",E112="",G112="",COUNTIF(Liste!$B$7:$B$13,H112)=0),"Dopuniti osnovno","Popunjeno"))))</f>
        <v/>
      </c>
      <c r="AG112" s="46" t="str">
        <f>IF(COUNTA(A112:AD112)=0,"",IF(NOT(OR(H112="Pilot",H112="Uslovno odobreno",H112="Odobreno")),"Nije aktivna odluka",IF(OR(K112="",N112="",O112="",P112="",Q112="",R112="",S112="",T112="",U112="",V112="",W112="",X112=""),"Dopuniti evidenciju",IF(OR(NOT(ISNUMBER(V112)),NOT(ISNUMBER(W112))),"Proveriti datume",IF(OR(V112&lt;36526,V112&gt;73050,W112&lt;36526,W112&gt;73050,V112&gt;Pregled!$B$7,W112&lt;V112),"Proveriti datume","Evidentirano")))))</f>
        <v/>
      </c>
      <c r="AH112" s="47" t="str">
        <f>IF(AND(Z112="Da",AA112&lt;&gt;"",AB112&lt;&gt;"",AC112&lt;&gt;"",ISNUMBER(AD112),AD112&gt;=36526,AD112&lt;=73050,AD112&lt;=Pregled!$B$7,AF112="Popunjeno",AG112="Evidentirano",OR(H112="Pilot",H112="Uslovno odobreno",H112="Odobreno")),COUNT($AH$7:AH111)+1,"")</f>
        <v/>
      </c>
    </row>
    <row r="113" ht="54.0" customHeight="1">
      <c r="A113" s="36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9"/>
      <c r="W113" s="39"/>
      <c r="X113" s="37"/>
      <c r="Y113" s="37"/>
      <c r="Z113" s="37"/>
      <c r="AA113" s="37"/>
      <c r="AB113" s="37"/>
      <c r="AC113" s="37"/>
      <c r="AD113" s="39"/>
      <c r="AE113" s="46" t="str">
        <f>IF(COUNTA(A113:AD113)=0,"",IF(OR(H113="Povučeno",H113="Odbijeno",H113="Obustavljeno"),"Nije aktivno",IF(W113="","Nije određen",IF(OR(NOT(ISNUMBER(W113)),W113&lt;36526,W113&gt;73050),"Proveriti datum",IF(W113&lt;Pregled!$B$7,"Kasni",IF(W113&lt;=Pregled!$B$7+Pregled!$F$7,"Uskoro","U roku"))))))</f>
        <v/>
      </c>
      <c r="AF113" s="46" t="str">
        <f>IF(COUNTA(A113:AD113)=0,"",IF(A113="","Nedostaje ID",IF(COUNTIFS($A$8:$A$207,A113)&gt;1,"Duplikat ID",IF(OR(B113="",E113="",G113="",COUNTIF(Liste!$B$7:$B$13,H113)=0),"Dopuniti osnovno","Popunjeno"))))</f>
        <v/>
      </c>
      <c r="AG113" s="46" t="str">
        <f>IF(COUNTA(A113:AD113)=0,"",IF(NOT(OR(H113="Pilot",H113="Uslovno odobreno",H113="Odobreno")),"Nije aktivna odluka",IF(OR(K113="",N113="",O113="",P113="",Q113="",R113="",S113="",T113="",U113="",V113="",W113="",X113=""),"Dopuniti evidenciju",IF(OR(NOT(ISNUMBER(V113)),NOT(ISNUMBER(W113))),"Proveriti datume",IF(OR(V113&lt;36526,V113&gt;73050,W113&lt;36526,W113&gt;73050,V113&gt;Pregled!$B$7,W113&lt;V113),"Proveriti datume","Evidentirano")))))</f>
        <v/>
      </c>
      <c r="AH113" s="47" t="str">
        <f>IF(AND(Z113="Da",AA113&lt;&gt;"",AB113&lt;&gt;"",AC113&lt;&gt;"",ISNUMBER(AD113),AD113&gt;=36526,AD113&lt;=73050,AD113&lt;=Pregled!$B$7,AF113="Popunjeno",AG113="Evidentirano",OR(H113="Pilot",H113="Uslovno odobreno",H113="Odobreno")),COUNT($AH$7:AH112)+1,"")</f>
        <v/>
      </c>
    </row>
    <row r="114" ht="54.0" customHeight="1">
      <c r="A114" s="36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9"/>
      <c r="W114" s="39"/>
      <c r="X114" s="37"/>
      <c r="Y114" s="37"/>
      <c r="Z114" s="37"/>
      <c r="AA114" s="37"/>
      <c r="AB114" s="37"/>
      <c r="AC114" s="37"/>
      <c r="AD114" s="39"/>
      <c r="AE114" s="46" t="str">
        <f>IF(COUNTA(A114:AD114)=0,"",IF(OR(H114="Povučeno",H114="Odbijeno",H114="Obustavljeno"),"Nije aktivno",IF(W114="","Nije određen",IF(OR(NOT(ISNUMBER(W114)),W114&lt;36526,W114&gt;73050),"Proveriti datum",IF(W114&lt;Pregled!$B$7,"Kasni",IF(W114&lt;=Pregled!$B$7+Pregled!$F$7,"Uskoro","U roku"))))))</f>
        <v/>
      </c>
      <c r="AF114" s="46" t="str">
        <f>IF(COUNTA(A114:AD114)=0,"",IF(A114="","Nedostaje ID",IF(COUNTIFS($A$8:$A$207,A114)&gt;1,"Duplikat ID",IF(OR(B114="",E114="",G114="",COUNTIF(Liste!$B$7:$B$13,H114)=0),"Dopuniti osnovno","Popunjeno"))))</f>
        <v/>
      </c>
      <c r="AG114" s="46" t="str">
        <f>IF(COUNTA(A114:AD114)=0,"",IF(NOT(OR(H114="Pilot",H114="Uslovno odobreno",H114="Odobreno")),"Nije aktivna odluka",IF(OR(K114="",N114="",O114="",P114="",Q114="",R114="",S114="",T114="",U114="",V114="",W114="",X114=""),"Dopuniti evidenciju",IF(OR(NOT(ISNUMBER(V114)),NOT(ISNUMBER(W114))),"Proveriti datume",IF(OR(V114&lt;36526,V114&gt;73050,W114&lt;36526,W114&gt;73050,V114&gt;Pregled!$B$7,W114&lt;V114),"Proveriti datume","Evidentirano")))))</f>
        <v/>
      </c>
      <c r="AH114" s="47" t="str">
        <f>IF(AND(Z114="Da",AA114&lt;&gt;"",AB114&lt;&gt;"",AC114&lt;&gt;"",ISNUMBER(AD114),AD114&gt;=36526,AD114&lt;=73050,AD114&lt;=Pregled!$B$7,AF114="Popunjeno",AG114="Evidentirano",OR(H114="Pilot",H114="Uslovno odobreno",H114="Odobreno")),COUNT($AH$7:AH113)+1,"")</f>
        <v/>
      </c>
    </row>
    <row r="115" ht="54.0" customHeight="1">
      <c r="A115" s="36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9"/>
      <c r="W115" s="39"/>
      <c r="X115" s="37"/>
      <c r="Y115" s="37"/>
      <c r="Z115" s="37"/>
      <c r="AA115" s="37"/>
      <c r="AB115" s="37"/>
      <c r="AC115" s="37"/>
      <c r="AD115" s="39"/>
      <c r="AE115" s="46" t="str">
        <f>IF(COUNTA(A115:AD115)=0,"",IF(OR(H115="Povučeno",H115="Odbijeno",H115="Obustavljeno"),"Nije aktivno",IF(W115="","Nije određen",IF(OR(NOT(ISNUMBER(W115)),W115&lt;36526,W115&gt;73050),"Proveriti datum",IF(W115&lt;Pregled!$B$7,"Kasni",IF(W115&lt;=Pregled!$B$7+Pregled!$F$7,"Uskoro","U roku"))))))</f>
        <v/>
      </c>
      <c r="AF115" s="46" t="str">
        <f>IF(COUNTA(A115:AD115)=0,"",IF(A115="","Nedostaje ID",IF(COUNTIFS($A$8:$A$207,A115)&gt;1,"Duplikat ID",IF(OR(B115="",E115="",G115="",COUNTIF(Liste!$B$7:$B$13,H115)=0),"Dopuniti osnovno","Popunjeno"))))</f>
        <v/>
      </c>
      <c r="AG115" s="46" t="str">
        <f>IF(COUNTA(A115:AD115)=0,"",IF(NOT(OR(H115="Pilot",H115="Uslovno odobreno",H115="Odobreno")),"Nije aktivna odluka",IF(OR(K115="",N115="",O115="",P115="",Q115="",R115="",S115="",T115="",U115="",V115="",W115="",X115=""),"Dopuniti evidenciju",IF(OR(NOT(ISNUMBER(V115)),NOT(ISNUMBER(W115))),"Proveriti datume",IF(OR(V115&lt;36526,V115&gt;73050,W115&lt;36526,W115&gt;73050,V115&gt;Pregled!$B$7,W115&lt;V115),"Proveriti datume","Evidentirano")))))</f>
        <v/>
      </c>
      <c r="AH115" s="47" t="str">
        <f>IF(AND(Z115="Da",AA115&lt;&gt;"",AB115&lt;&gt;"",AC115&lt;&gt;"",ISNUMBER(AD115),AD115&gt;=36526,AD115&lt;=73050,AD115&lt;=Pregled!$B$7,AF115="Popunjeno",AG115="Evidentirano",OR(H115="Pilot",H115="Uslovno odobreno",H115="Odobreno")),COUNT($AH$7:AH114)+1,"")</f>
        <v/>
      </c>
    </row>
    <row r="116" ht="54.0" customHeight="1">
      <c r="A116" s="36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9"/>
      <c r="W116" s="39"/>
      <c r="X116" s="37"/>
      <c r="Y116" s="37"/>
      <c r="Z116" s="37"/>
      <c r="AA116" s="37"/>
      <c r="AB116" s="37"/>
      <c r="AC116" s="37"/>
      <c r="AD116" s="39"/>
      <c r="AE116" s="46" t="str">
        <f>IF(COUNTA(A116:AD116)=0,"",IF(OR(H116="Povučeno",H116="Odbijeno",H116="Obustavljeno"),"Nije aktivno",IF(W116="","Nije određen",IF(OR(NOT(ISNUMBER(W116)),W116&lt;36526,W116&gt;73050),"Proveriti datum",IF(W116&lt;Pregled!$B$7,"Kasni",IF(W116&lt;=Pregled!$B$7+Pregled!$F$7,"Uskoro","U roku"))))))</f>
        <v/>
      </c>
      <c r="AF116" s="46" t="str">
        <f>IF(COUNTA(A116:AD116)=0,"",IF(A116="","Nedostaje ID",IF(COUNTIFS($A$8:$A$207,A116)&gt;1,"Duplikat ID",IF(OR(B116="",E116="",G116="",COUNTIF(Liste!$B$7:$B$13,H116)=0),"Dopuniti osnovno","Popunjeno"))))</f>
        <v/>
      </c>
      <c r="AG116" s="46" t="str">
        <f>IF(COUNTA(A116:AD116)=0,"",IF(NOT(OR(H116="Pilot",H116="Uslovno odobreno",H116="Odobreno")),"Nije aktivna odluka",IF(OR(K116="",N116="",O116="",P116="",Q116="",R116="",S116="",T116="",U116="",V116="",W116="",X116=""),"Dopuniti evidenciju",IF(OR(NOT(ISNUMBER(V116)),NOT(ISNUMBER(W116))),"Proveriti datume",IF(OR(V116&lt;36526,V116&gt;73050,W116&lt;36526,W116&gt;73050,V116&gt;Pregled!$B$7,W116&lt;V116),"Proveriti datume","Evidentirano")))))</f>
        <v/>
      </c>
      <c r="AH116" s="47" t="str">
        <f>IF(AND(Z116="Da",AA116&lt;&gt;"",AB116&lt;&gt;"",AC116&lt;&gt;"",ISNUMBER(AD116),AD116&gt;=36526,AD116&lt;=73050,AD116&lt;=Pregled!$B$7,AF116="Popunjeno",AG116="Evidentirano",OR(H116="Pilot",H116="Uslovno odobreno",H116="Odobreno")),COUNT($AH$7:AH115)+1,"")</f>
        <v/>
      </c>
    </row>
    <row r="117" ht="54.0" customHeight="1">
      <c r="A117" s="36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9"/>
      <c r="W117" s="39"/>
      <c r="X117" s="37"/>
      <c r="Y117" s="37"/>
      <c r="Z117" s="37"/>
      <c r="AA117" s="37"/>
      <c r="AB117" s="37"/>
      <c r="AC117" s="37"/>
      <c r="AD117" s="39"/>
      <c r="AE117" s="46" t="str">
        <f>IF(COUNTA(A117:AD117)=0,"",IF(OR(H117="Povučeno",H117="Odbijeno",H117="Obustavljeno"),"Nije aktivno",IF(W117="","Nije određen",IF(OR(NOT(ISNUMBER(W117)),W117&lt;36526,W117&gt;73050),"Proveriti datum",IF(W117&lt;Pregled!$B$7,"Kasni",IF(W117&lt;=Pregled!$B$7+Pregled!$F$7,"Uskoro","U roku"))))))</f>
        <v/>
      </c>
      <c r="AF117" s="46" t="str">
        <f>IF(COUNTA(A117:AD117)=0,"",IF(A117="","Nedostaje ID",IF(COUNTIFS($A$8:$A$207,A117)&gt;1,"Duplikat ID",IF(OR(B117="",E117="",G117="",COUNTIF(Liste!$B$7:$B$13,H117)=0),"Dopuniti osnovno","Popunjeno"))))</f>
        <v/>
      </c>
      <c r="AG117" s="46" t="str">
        <f>IF(COUNTA(A117:AD117)=0,"",IF(NOT(OR(H117="Pilot",H117="Uslovno odobreno",H117="Odobreno")),"Nije aktivna odluka",IF(OR(K117="",N117="",O117="",P117="",Q117="",R117="",S117="",T117="",U117="",V117="",W117="",X117=""),"Dopuniti evidenciju",IF(OR(NOT(ISNUMBER(V117)),NOT(ISNUMBER(W117))),"Proveriti datume",IF(OR(V117&lt;36526,V117&gt;73050,W117&lt;36526,W117&gt;73050,V117&gt;Pregled!$B$7,W117&lt;V117),"Proveriti datume","Evidentirano")))))</f>
        <v/>
      </c>
      <c r="AH117" s="47" t="str">
        <f>IF(AND(Z117="Da",AA117&lt;&gt;"",AB117&lt;&gt;"",AC117&lt;&gt;"",ISNUMBER(AD117),AD117&gt;=36526,AD117&lt;=73050,AD117&lt;=Pregled!$B$7,AF117="Popunjeno",AG117="Evidentirano",OR(H117="Pilot",H117="Uslovno odobreno",H117="Odobreno")),COUNT($AH$7:AH116)+1,"")</f>
        <v/>
      </c>
    </row>
    <row r="118" ht="54.0" customHeight="1">
      <c r="A118" s="36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9"/>
      <c r="W118" s="39"/>
      <c r="X118" s="37"/>
      <c r="Y118" s="37"/>
      <c r="Z118" s="37"/>
      <c r="AA118" s="37"/>
      <c r="AB118" s="37"/>
      <c r="AC118" s="37"/>
      <c r="AD118" s="39"/>
      <c r="AE118" s="46" t="str">
        <f>IF(COUNTA(A118:AD118)=0,"",IF(OR(H118="Povučeno",H118="Odbijeno",H118="Obustavljeno"),"Nije aktivno",IF(W118="","Nije određen",IF(OR(NOT(ISNUMBER(W118)),W118&lt;36526,W118&gt;73050),"Proveriti datum",IF(W118&lt;Pregled!$B$7,"Kasni",IF(W118&lt;=Pregled!$B$7+Pregled!$F$7,"Uskoro","U roku"))))))</f>
        <v/>
      </c>
      <c r="AF118" s="46" t="str">
        <f>IF(COUNTA(A118:AD118)=0,"",IF(A118="","Nedostaje ID",IF(COUNTIFS($A$8:$A$207,A118)&gt;1,"Duplikat ID",IF(OR(B118="",E118="",G118="",COUNTIF(Liste!$B$7:$B$13,H118)=0),"Dopuniti osnovno","Popunjeno"))))</f>
        <v/>
      </c>
      <c r="AG118" s="46" t="str">
        <f>IF(COUNTA(A118:AD118)=0,"",IF(NOT(OR(H118="Pilot",H118="Uslovno odobreno",H118="Odobreno")),"Nije aktivna odluka",IF(OR(K118="",N118="",O118="",P118="",Q118="",R118="",S118="",T118="",U118="",V118="",W118="",X118=""),"Dopuniti evidenciju",IF(OR(NOT(ISNUMBER(V118)),NOT(ISNUMBER(W118))),"Proveriti datume",IF(OR(V118&lt;36526,V118&gt;73050,W118&lt;36526,W118&gt;73050,V118&gt;Pregled!$B$7,W118&lt;V118),"Proveriti datume","Evidentirano")))))</f>
        <v/>
      </c>
      <c r="AH118" s="47" t="str">
        <f>IF(AND(Z118="Da",AA118&lt;&gt;"",AB118&lt;&gt;"",AC118&lt;&gt;"",ISNUMBER(AD118),AD118&gt;=36526,AD118&lt;=73050,AD118&lt;=Pregled!$B$7,AF118="Popunjeno",AG118="Evidentirano",OR(H118="Pilot",H118="Uslovno odobreno",H118="Odobreno")),COUNT($AH$7:AH117)+1,"")</f>
        <v/>
      </c>
    </row>
    <row r="119" ht="54.0" customHeight="1">
      <c r="A119" s="36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9"/>
      <c r="W119" s="39"/>
      <c r="X119" s="37"/>
      <c r="Y119" s="37"/>
      <c r="Z119" s="37"/>
      <c r="AA119" s="37"/>
      <c r="AB119" s="37"/>
      <c r="AC119" s="37"/>
      <c r="AD119" s="39"/>
      <c r="AE119" s="46" t="str">
        <f>IF(COUNTA(A119:AD119)=0,"",IF(OR(H119="Povučeno",H119="Odbijeno",H119="Obustavljeno"),"Nije aktivno",IF(W119="","Nije određen",IF(OR(NOT(ISNUMBER(W119)),W119&lt;36526,W119&gt;73050),"Proveriti datum",IF(W119&lt;Pregled!$B$7,"Kasni",IF(W119&lt;=Pregled!$B$7+Pregled!$F$7,"Uskoro","U roku"))))))</f>
        <v/>
      </c>
      <c r="AF119" s="46" t="str">
        <f>IF(COUNTA(A119:AD119)=0,"",IF(A119="","Nedostaje ID",IF(COUNTIFS($A$8:$A$207,A119)&gt;1,"Duplikat ID",IF(OR(B119="",E119="",G119="",COUNTIF(Liste!$B$7:$B$13,H119)=0),"Dopuniti osnovno","Popunjeno"))))</f>
        <v/>
      </c>
      <c r="AG119" s="46" t="str">
        <f>IF(COUNTA(A119:AD119)=0,"",IF(NOT(OR(H119="Pilot",H119="Uslovno odobreno",H119="Odobreno")),"Nije aktivna odluka",IF(OR(K119="",N119="",O119="",P119="",Q119="",R119="",S119="",T119="",U119="",V119="",W119="",X119=""),"Dopuniti evidenciju",IF(OR(NOT(ISNUMBER(V119)),NOT(ISNUMBER(W119))),"Proveriti datume",IF(OR(V119&lt;36526,V119&gt;73050,W119&lt;36526,W119&gt;73050,V119&gt;Pregled!$B$7,W119&lt;V119),"Proveriti datume","Evidentirano")))))</f>
        <v/>
      </c>
      <c r="AH119" s="47" t="str">
        <f>IF(AND(Z119="Da",AA119&lt;&gt;"",AB119&lt;&gt;"",AC119&lt;&gt;"",ISNUMBER(AD119),AD119&gt;=36526,AD119&lt;=73050,AD119&lt;=Pregled!$B$7,AF119="Popunjeno",AG119="Evidentirano",OR(H119="Pilot",H119="Uslovno odobreno",H119="Odobreno")),COUNT($AH$7:AH118)+1,"")</f>
        <v/>
      </c>
    </row>
    <row r="120" ht="54.0" customHeight="1">
      <c r="A120" s="36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9"/>
      <c r="W120" s="39"/>
      <c r="X120" s="37"/>
      <c r="Y120" s="37"/>
      <c r="Z120" s="37"/>
      <c r="AA120" s="37"/>
      <c r="AB120" s="37"/>
      <c r="AC120" s="37"/>
      <c r="AD120" s="39"/>
      <c r="AE120" s="46" t="str">
        <f>IF(COUNTA(A120:AD120)=0,"",IF(OR(H120="Povučeno",H120="Odbijeno",H120="Obustavljeno"),"Nije aktivno",IF(W120="","Nije određen",IF(OR(NOT(ISNUMBER(W120)),W120&lt;36526,W120&gt;73050),"Proveriti datum",IF(W120&lt;Pregled!$B$7,"Kasni",IF(W120&lt;=Pregled!$B$7+Pregled!$F$7,"Uskoro","U roku"))))))</f>
        <v/>
      </c>
      <c r="AF120" s="46" t="str">
        <f>IF(COUNTA(A120:AD120)=0,"",IF(A120="","Nedostaje ID",IF(COUNTIFS($A$8:$A$207,A120)&gt;1,"Duplikat ID",IF(OR(B120="",E120="",G120="",COUNTIF(Liste!$B$7:$B$13,H120)=0),"Dopuniti osnovno","Popunjeno"))))</f>
        <v/>
      </c>
      <c r="AG120" s="46" t="str">
        <f>IF(COUNTA(A120:AD120)=0,"",IF(NOT(OR(H120="Pilot",H120="Uslovno odobreno",H120="Odobreno")),"Nije aktivna odluka",IF(OR(K120="",N120="",O120="",P120="",Q120="",R120="",S120="",T120="",U120="",V120="",W120="",X120=""),"Dopuniti evidenciju",IF(OR(NOT(ISNUMBER(V120)),NOT(ISNUMBER(W120))),"Proveriti datume",IF(OR(V120&lt;36526,V120&gt;73050,W120&lt;36526,W120&gt;73050,V120&gt;Pregled!$B$7,W120&lt;V120),"Proveriti datume","Evidentirano")))))</f>
        <v/>
      </c>
      <c r="AH120" s="47" t="str">
        <f>IF(AND(Z120="Da",AA120&lt;&gt;"",AB120&lt;&gt;"",AC120&lt;&gt;"",ISNUMBER(AD120),AD120&gt;=36526,AD120&lt;=73050,AD120&lt;=Pregled!$B$7,AF120="Popunjeno",AG120="Evidentirano",OR(H120="Pilot",H120="Uslovno odobreno",H120="Odobreno")),COUNT($AH$7:AH119)+1,"")</f>
        <v/>
      </c>
    </row>
    <row r="121" ht="54.0" customHeight="1">
      <c r="A121" s="36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9"/>
      <c r="W121" s="39"/>
      <c r="X121" s="37"/>
      <c r="Y121" s="37"/>
      <c r="Z121" s="37"/>
      <c r="AA121" s="37"/>
      <c r="AB121" s="37"/>
      <c r="AC121" s="37"/>
      <c r="AD121" s="39"/>
      <c r="AE121" s="46" t="str">
        <f>IF(COUNTA(A121:AD121)=0,"",IF(OR(H121="Povučeno",H121="Odbijeno",H121="Obustavljeno"),"Nije aktivno",IF(W121="","Nije određen",IF(OR(NOT(ISNUMBER(W121)),W121&lt;36526,W121&gt;73050),"Proveriti datum",IF(W121&lt;Pregled!$B$7,"Kasni",IF(W121&lt;=Pregled!$B$7+Pregled!$F$7,"Uskoro","U roku"))))))</f>
        <v/>
      </c>
      <c r="AF121" s="46" t="str">
        <f>IF(COUNTA(A121:AD121)=0,"",IF(A121="","Nedostaje ID",IF(COUNTIFS($A$8:$A$207,A121)&gt;1,"Duplikat ID",IF(OR(B121="",E121="",G121="",COUNTIF(Liste!$B$7:$B$13,H121)=0),"Dopuniti osnovno","Popunjeno"))))</f>
        <v/>
      </c>
      <c r="AG121" s="46" t="str">
        <f>IF(COUNTA(A121:AD121)=0,"",IF(NOT(OR(H121="Pilot",H121="Uslovno odobreno",H121="Odobreno")),"Nije aktivna odluka",IF(OR(K121="",N121="",O121="",P121="",Q121="",R121="",S121="",T121="",U121="",V121="",W121="",X121=""),"Dopuniti evidenciju",IF(OR(NOT(ISNUMBER(V121)),NOT(ISNUMBER(W121))),"Proveriti datume",IF(OR(V121&lt;36526,V121&gt;73050,W121&lt;36526,W121&gt;73050,V121&gt;Pregled!$B$7,W121&lt;V121),"Proveriti datume","Evidentirano")))))</f>
        <v/>
      </c>
      <c r="AH121" s="47" t="str">
        <f>IF(AND(Z121="Da",AA121&lt;&gt;"",AB121&lt;&gt;"",AC121&lt;&gt;"",ISNUMBER(AD121),AD121&gt;=36526,AD121&lt;=73050,AD121&lt;=Pregled!$B$7,AF121="Popunjeno",AG121="Evidentirano",OR(H121="Pilot",H121="Uslovno odobreno",H121="Odobreno")),COUNT($AH$7:AH120)+1,"")</f>
        <v/>
      </c>
    </row>
    <row r="122" ht="54.0" customHeight="1">
      <c r="A122" s="36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9"/>
      <c r="W122" s="39"/>
      <c r="X122" s="37"/>
      <c r="Y122" s="37"/>
      <c r="Z122" s="37"/>
      <c r="AA122" s="37"/>
      <c r="AB122" s="37"/>
      <c r="AC122" s="37"/>
      <c r="AD122" s="39"/>
      <c r="AE122" s="46" t="str">
        <f>IF(COUNTA(A122:AD122)=0,"",IF(OR(H122="Povučeno",H122="Odbijeno",H122="Obustavljeno"),"Nije aktivno",IF(W122="","Nije određen",IF(OR(NOT(ISNUMBER(W122)),W122&lt;36526,W122&gt;73050),"Proveriti datum",IF(W122&lt;Pregled!$B$7,"Kasni",IF(W122&lt;=Pregled!$B$7+Pregled!$F$7,"Uskoro","U roku"))))))</f>
        <v/>
      </c>
      <c r="AF122" s="46" t="str">
        <f>IF(COUNTA(A122:AD122)=0,"",IF(A122="","Nedostaje ID",IF(COUNTIFS($A$8:$A$207,A122)&gt;1,"Duplikat ID",IF(OR(B122="",E122="",G122="",COUNTIF(Liste!$B$7:$B$13,H122)=0),"Dopuniti osnovno","Popunjeno"))))</f>
        <v/>
      </c>
      <c r="AG122" s="46" t="str">
        <f>IF(COUNTA(A122:AD122)=0,"",IF(NOT(OR(H122="Pilot",H122="Uslovno odobreno",H122="Odobreno")),"Nije aktivna odluka",IF(OR(K122="",N122="",O122="",P122="",Q122="",R122="",S122="",T122="",U122="",V122="",W122="",X122=""),"Dopuniti evidenciju",IF(OR(NOT(ISNUMBER(V122)),NOT(ISNUMBER(W122))),"Proveriti datume",IF(OR(V122&lt;36526,V122&gt;73050,W122&lt;36526,W122&gt;73050,V122&gt;Pregled!$B$7,W122&lt;V122),"Proveriti datume","Evidentirano")))))</f>
        <v/>
      </c>
      <c r="AH122" s="47" t="str">
        <f>IF(AND(Z122="Da",AA122&lt;&gt;"",AB122&lt;&gt;"",AC122&lt;&gt;"",ISNUMBER(AD122),AD122&gt;=36526,AD122&lt;=73050,AD122&lt;=Pregled!$B$7,AF122="Popunjeno",AG122="Evidentirano",OR(H122="Pilot",H122="Uslovno odobreno",H122="Odobreno")),COUNT($AH$7:AH121)+1,"")</f>
        <v/>
      </c>
    </row>
    <row r="123" ht="54.0" customHeight="1">
      <c r="A123" s="36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9"/>
      <c r="W123" s="39"/>
      <c r="X123" s="37"/>
      <c r="Y123" s="37"/>
      <c r="Z123" s="37"/>
      <c r="AA123" s="37"/>
      <c r="AB123" s="37"/>
      <c r="AC123" s="37"/>
      <c r="AD123" s="39"/>
      <c r="AE123" s="46" t="str">
        <f>IF(COUNTA(A123:AD123)=0,"",IF(OR(H123="Povučeno",H123="Odbijeno",H123="Obustavljeno"),"Nije aktivno",IF(W123="","Nije određen",IF(OR(NOT(ISNUMBER(W123)),W123&lt;36526,W123&gt;73050),"Proveriti datum",IF(W123&lt;Pregled!$B$7,"Kasni",IF(W123&lt;=Pregled!$B$7+Pregled!$F$7,"Uskoro","U roku"))))))</f>
        <v/>
      </c>
      <c r="AF123" s="46" t="str">
        <f>IF(COUNTA(A123:AD123)=0,"",IF(A123="","Nedostaje ID",IF(COUNTIFS($A$8:$A$207,A123)&gt;1,"Duplikat ID",IF(OR(B123="",E123="",G123="",COUNTIF(Liste!$B$7:$B$13,H123)=0),"Dopuniti osnovno","Popunjeno"))))</f>
        <v/>
      </c>
      <c r="AG123" s="46" t="str">
        <f>IF(COUNTA(A123:AD123)=0,"",IF(NOT(OR(H123="Pilot",H123="Uslovno odobreno",H123="Odobreno")),"Nije aktivna odluka",IF(OR(K123="",N123="",O123="",P123="",Q123="",R123="",S123="",T123="",U123="",V123="",W123="",X123=""),"Dopuniti evidenciju",IF(OR(NOT(ISNUMBER(V123)),NOT(ISNUMBER(W123))),"Proveriti datume",IF(OR(V123&lt;36526,V123&gt;73050,W123&lt;36526,W123&gt;73050,V123&gt;Pregled!$B$7,W123&lt;V123),"Proveriti datume","Evidentirano")))))</f>
        <v/>
      </c>
      <c r="AH123" s="47" t="str">
        <f>IF(AND(Z123="Da",AA123&lt;&gt;"",AB123&lt;&gt;"",AC123&lt;&gt;"",ISNUMBER(AD123),AD123&gt;=36526,AD123&lt;=73050,AD123&lt;=Pregled!$B$7,AF123="Popunjeno",AG123="Evidentirano",OR(H123="Pilot",H123="Uslovno odobreno",H123="Odobreno")),COUNT($AH$7:AH122)+1,"")</f>
        <v/>
      </c>
    </row>
    <row r="124" ht="54.0" customHeight="1">
      <c r="A124" s="36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9"/>
      <c r="W124" s="39"/>
      <c r="X124" s="37"/>
      <c r="Y124" s="37"/>
      <c r="Z124" s="37"/>
      <c r="AA124" s="37"/>
      <c r="AB124" s="37"/>
      <c r="AC124" s="37"/>
      <c r="AD124" s="39"/>
      <c r="AE124" s="46" t="str">
        <f>IF(COUNTA(A124:AD124)=0,"",IF(OR(H124="Povučeno",H124="Odbijeno",H124="Obustavljeno"),"Nije aktivno",IF(W124="","Nije određen",IF(OR(NOT(ISNUMBER(W124)),W124&lt;36526,W124&gt;73050),"Proveriti datum",IF(W124&lt;Pregled!$B$7,"Kasni",IF(W124&lt;=Pregled!$B$7+Pregled!$F$7,"Uskoro","U roku"))))))</f>
        <v/>
      </c>
      <c r="AF124" s="46" t="str">
        <f>IF(COUNTA(A124:AD124)=0,"",IF(A124="","Nedostaje ID",IF(COUNTIFS($A$8:$A$207,A124)&gt;1,"Duplikat ID",IF(OR(B124="",E124="",G124="",COUNTIF(Liste!$B$7:$B$13,H124)=0),"Dopuniti osnovno","Popunjeno"))))</f>
        <v/>
      </c>
      <c r="AG124" s="46" t="str">
        <f>IF(COUNTA(A124:AD124)=0,"",IF(NOT(OR(H124="Pilot",H124="Uslovno odobreno",H124="Odobreno")),"Nije aktivna odluka",IF(OR(K124="",N124="",O124="",P124="",Q124="",R124="",S124="",T124="",U124="",V124="",W124="",X124=""),"Dopuniti evidenciju",IF(OR(NOT(ISNUMBER(V124)),NOT(ISNUMBER(W124))),"Proveriti datume",IF(OR(V124&lt;36526,V124&gt;73050,W124&lt;36526,W124&gt;73050,V124&gt;Pregled!$B$7,W124&lt;V124),"Proveriti datume","Evidentirano")))))</f>
        <v/>
      </c>
      <c r="AH124" s="47" t="str">
        <f>IF(AND(Z124="Da",AA124&lt;&gt;"",AB124&lt;&gt;"",AC124&lt;&gt;"",ISNUMBER(AD124),AD124&gt;=36526,AD124&lt;=73050,AD124&lt;=Pregled!$B$7,AF124="Popunjeno",AG124="Evidentirano",OR(H124="Pilot",H124="Uslovno odobreno",H124="Odobreno")),COUNT($AH$7:AH123)+1,"")</f>
        <v/>
      </c>
    </row>
    <row r="125" ht="54.0" customHeight="1">
      <c r="A125" s="36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9"/>
      <c r="W125" s="39"/>
      <c r="X125" s="37"/>
      <c r="Y125" s="37"/>
      <c r="Z125" s="37"/>
      <c r="AA125" s="37"/>
      <c r="AB125" s="37"/>
      <c r="AC125" s="37"/>
      <c r="AD125" s="39"/>
      <c r="AE125" s="46" t="str">
        <f>IF(COUNTA(A125:AD125)=0,"",IF(OR(H125="Povučeno",H125="Odbijeno",H125="Obustavljeno"),"Nije aktivno",IF(W125="","Nije određen",IF(OR(NOT(ISNUMBER(W125)),W125&lt;36526,W125&gt;73050),"Proveriti datum",IF(W125&lt;Pregled!$B$7,"Kasni",IF(W125&lt;=Pregled!$B$7+Pregled!$F$7,"Uskoro","U roku"))))))</f>
        <v/>
      </c>
      <c r="AF125" s="46" t="str">
        <f>IF(COUNTA(A125:AD125)=0,"",IF(A125="","Nedostaje ID",IF(COUNTIFS($A$8:$A$207,A125)&gt;1,"Duplikat ID",IF(OR(B125="",E125="",G125="",COUNTIF(Liste!$B$7:$B$13,H125)=0),"Dopuniti osnovno","Popunjeno"))))</f>
        <v/>
      </c>
      <c r="AG125" s="46" t="str">
        <f>IF(COUNTA(A125:AD125)=0,"",IF(NOT(OR(H125="Pilot",H125="Uslovno odobreno",H125="Odobreno")),"Nije aktivna odluka",IF(OR(K125="",N125="",O125="",P125="",Q125="",R125="",S125="",T125="",U125="",V125="",W125="",X125=""),"Dopuniti evidenciju",IF(OR(NOT(ISNUMBER(V125)),NOT(ISNUMBER(W125))),"Proveriti datume",IF(OR(V125&lt;36526,V125&gt;73050,W125&lt;36526,W125&gt;73050,V125&gt;Pregled!$B$7,W125&lt;V125),"Proveriti datume","Evidentirano")))))</f>
        <v/>
      </c>
      <c r="AH125" s="47" t="str">
        <f>IF(AND(Z125="Da",AA125&lt;&gt;"",AB125&lt;&gt;"",AC125&lt;&gt;"",ISNUMBER(AD125),AD125&gt;=36526,AD125&lt;=73050,AD125&lt;=Pregled!$B$7,AF125="Popunjeno",AG125="Evidentirano",OR(H125="Pilot",H125="Uslovno odobreno",H125="Odobreno")),COUNT($AH$7:AH124)+1,"")</f>
        <v/>
      </c>
    </row>
    <row r="126" ht="54.0" customHeight="1">
      <c r="A126" s="36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9"/>
      <c r="W126" s="39"/>
      <c r="X126" s="37"/>
      <c r="Y126" s="37"/>
      <c r="Z126" s="37"/>
      <c r="AA126" s="37"/>
      <c r="AB126" s="37"/>
      <c r="AC126" s="37"/>
      <c r="AD126" s="39"/>
      <c r="AE126" s="46" t="str">
        <f>IF(COUNTA(A126:AD126)=0,"",IF(OR(H126="Povučeno",H126="Odbijeno",H126="Obustavljeno"),"Nije aktivno",IF(W126="","Nije određen",IF(OR(NOT(ISNUMBER(W126)),W126&lt;36526,W126&gt;73050),"Proveriti datum",IF(W126&lt;Pregled!$B$7,"Kasni",IF(W126&lt;=Pregled!$B$7+Pregled!$F$7,"Uskoro","U roku"))))))</f>
        <v/>
      </c>
      <c r="AF126" s="46" t="str">
        <f>IF(COUNTA(A126:AD126)=0,"",IF(A126="","Nedostaje ID",IF(COUNTIFS($A$8:$A$207,A126)&gt;1,"Duplikat ID",IF(OR(B126="",E126="",G126="",COUNTIF(Liste!$B$7:$B$13,H126)=0),"Dopuniti osnovno","Popunjeno"))))</f>
        <v/>
      </c>
      <c r="AG126" s="46" t="str">
        <f>IF(COUNTA(A126:AD126)=0,"",IF(NOT(OR(H126="Pilot",H126="Uslovno odobreno",H126="Odobreno")),"Nije aktivna odluka",IF(OR(K126="",N126="",O126="",P126="",Q126="",R126="",S126="",T126="",U126="",V126="",W126="",X126=""),"Dopuniti evidenciju",IF(OR(NOT(ISNUMBER(V126)),NOT(ISNUMBER(W126))),"Proveriti datume",IF(OR(V126&lt;36526,V126&gt;73050,W126&lt;36526,W126&gt;73050,V126&gt;Pregled!$B$7,W126&lt;V126),"Proveriti datume","Evidentirano")))))</f>
        <v/>
      </c>
      <c r="AH126" s="47" t="str">
        <f>IF(AND(Z126="Da",AA126&lt;&gt;"",AB126&lt;&gt;"",AC126&lt;&gt;"",ISNUMBER(AD126),AD126&gt;=36526,AD126&lt;=73050,AD126&lt;=Pregled!$B$7,AF126="Popunjeno",AG126="Evidentirano",OR(H126="Pilot",H126="Uslovno odobreno",H126="Odobreno")),COUNT($AH$7:AH125)+1,"")</f>
        <v/>
      </c>
    </row>
    <row r="127" ht="54.0" customHeight="1">
      <c r="A127" s="36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9"/>
      <c r="W127" s="39"/>
      <c r="X127" s="37"/>
      <c r="Y127" s="37"/>
      <c r="Z127" s="37"/>
      <c r="AA127" s="37"/>
      <c r="AB127" s="37"/>
      <c r="AC127" s="37"/>
      <c r="AD127" s="39"/>
      <c r="AE127" s="46" t="str">
        <f>IF(COUNTA(A127:AD127)=0,"",IF(OR(H127="Povučeno",H127="Odbijeno",H127="Obustavljeno"),"Nije aktivno",IF(W127="","Nije određen",IF(OR(NOT(ISNUMBER(W127)),W127&lt;36526,W127&gt;73050),"Proveriti datum",IF(W127&lt;Pregled!$B$7,"Kasni",IF(W127&lt;=Pregled!$B$7+Pregled!$F$7,"Uskoro","U roku"))))))</f>
        <v/>
      </c>
      <c r="AF127" s="46" t="str">
        <f>IF(COUNTA(A127:AD127)=0,"",IF(A127="","Nedostaje ID",IF(COUNTIFS($A$8:$A$207,A127)&gt;1,"Duplikat ID",IF(OR(B127="",E127="",G127="",COUNTIF(Liste!$B$7:$B$13,H127)=0),"Dopuniti osnovno","Popunjeno"))))</f>
        <v/>
      </c>
      <c r="AG127" s="46" t="str">
        <f>IF(COUNTA(A127:AD127)=0,"",IF(NOT(OR(H127="Pilot",H127="Uslovno odobreno",H127="Odobreno")),"Nije aktivna odluka",IF(OR(K127="",N127="",O127="",P127="",Q127="",R127="",S127="",T127="",U127="",V127="",W127="",X127=""),"Dopuniti evidenciju",IF(OR(NOT(ISNUMBER(V127)),NOT(ISNUMBER(W127))),"Proveriti datume",IF(OR(V127&lt;36526,V127&gt;73050,W127&lt;36526,W127&gt;73050,V127&gt;Pregled!$B$7,W127&lt;V127),"Proveriti datume","Evidentirano")))))</f>
        <v/>
      </c>
      <c r="AH127" s="47" t="str">
        <f>IF(AND(Z127="Da",AA127&lt;&gt;"",AB127&lt;&gt;"",AC127&lt;&gt;"",ISNUMBER(AD127),AD127&gt;=36526,AD127&lt;=73050,AD127&lt;=Pregled!$B$7,AF127="Popunjeno",AG127="Evidentirano",OR(H127="Pilot",H127="Uslovno odobreno",H127="Odobreno")),COUNT($AH$7:AH126)+1,"")</f>
        <v/>
      </c>
    </row>
    <row r="128" ht="54.0" customHeight="1">
      <c r="A128" s="36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9"/>
      <c r="W128" s="39"/>
      <c r="X128" s="37"/>
      <c r="Y128" s="37"/>
      <c r="Z128" s="37"/>
      <c r="AA128" s="37"/>
      <c r="AB128" s="37"/>
      <c r="AC128" s="37"/>
      <c r="AD128" s="39"/>
      <c r="AE128" s="46" t="str">
        <f>IF(COUNTA(A128:AD128)=0,"",IF(OR(H128="Povučeno",H128="Odbijeno",H128="Obustavljeno"),"Nije aktivno",IF(W128="","Nije određen",IF(OR(NOT(ISNUMBER(W128)),W128&lt;36526,W128&gt;73050),"Proveriti datum",IF(W128&lt;Pregled!$B$7,"Kasni",IF(W128&lt;=Pregled!$B$7+Pregled!$F$7,"Uskoro","U roku"))))))</f>
        <v/>
      </c>
      <c r="AF128" s="46" t="str">
        <f>IF(COUNTA(A128:AD128)=0,"",IF(A128="","Nedostaje ID",IF(COUNTIFS($A$8:$A$207,A128)&gt;1,"Duplikat ID",IF(OR(B128="",E128="",G128="",COUNTIF(Liste!$B$7:$B$13,H128)=0),"Dopuniti osnovno","Popunjeno"))))</f>
        <v/>
      </c>
      <c r="AG128" s="46" t="str">
        <f>IF(COUNTA(A128:AD128)=0,"",IF(NOT(OR(H128="Pilot",H128="Uslovno odobreno",H128="Odobreno")),"Nije aktivna odluka",IF(OR(K128="",N128="",O128="",P128="",Q128="",R128="",S128="",T128="",U128="",V128="",W128="",X128=""),"Dopuniti evidenciju",IF(OR(NOT(ISNUMBER(V128)),NOT(ISNUMBER(W128))),"Proveriti datume",IF(OR(V128&lt;36526,V128&gt;73050,W128&lt;36526,W128&gt;73050,V128&gt;Pregled!$B$7,W128&lt;V128),"Proveriti datume","Evidentirano")))))</f>
        <v/>
      </c>
      <c r="AH128" s="47" t="str">
        <f>IF(AND(Z128="Da",AA128&lt;&gt;"",AB128&lt;&gt;"",AC128&lt;&gt;"",ISNUMBER(AD128),AD128&gt;=36526,AD128&lt;=73050,AD128&lt;=Pregled!$B$7,AF128="Popunjeno",AG128="Evidentirano",OR(H128="Pilot",H128="Uslovno odobreno",H128="Odobreno")),COUNT($AH$7:AH127)+1,"")</f>
        <v/>
      </c>
    </row>
    <row r="129" ht="54.0" customHeight="1">
      <c r="A129" s="36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9"/>
      <c r="W129" s="39"/>
      <c r="X129" s="37"/>
      <c r="Y129" s="37"/>
      <c r="Z129" s="37"/>
      <c r="AA129" s="37"/>
      <c r="AB129" s="37"/>
      <c r="AC129" s="37"/>
      <c r="AD129" s="39"/>
      <c r="AE129" s="46" t="str">
        <f>IF(COUNTA(A129:AD129)=0,"",IF(OR(H129="Povučeno",H129="Odbijeno",H129="Obustavljeno"),"Nije aktivno",IF(W129="","Nije određen",IF(OR(NOT(ISNUMBER(W129)),W129&lt;36526,W129&gt;73050),"Proveriti datum",IF(W129&lt;Pregled!$B$7,"Kasni",IF(W129&lt;=Pregled!$B$7+Pregled!$F$7,"Uskoro","U roku"))))))</f>
        <v/>
      </c>
      <c r="AF129" s="46" t="str">
        <f>IF(COUNTA(A129:AD129)=0,"",IF(A129="","Nedostaje ID",IF(COUNTIFS($A$8:$A$207,A129)&gt;1,"Duplikat ID",IF(OR(B129="",E129="",G129="",COUNTIF(Liste!$B$7:$B$13,H129)=0),"Dopuniti osnovno","Popunjeno"))))</f>
        <v/>
      </c>
      <c r="AG129" s="46" t="str">
        <f>IF(COUNTA(A129:AD129)=0,"",IF(NOT(OR(H129="Pilot",H129="Uslovno odobreno",H129="Odobreno")),"Nije aktivna odluka",IF(OR(K129="",N129="",O129="",P129="",Q129="",R129="",S129="",T129="",U129="",V129="",W129="",X129=""),"Dopuniti evidenciju",IF(OR(NOT(ISNUMBER(V129)),NOT(ISNUMBER(W129))),"Proveriti datume",IF(OR(V129&lt;36526,V129&gt;73050,W129&lt;36526,W129&gt;73050,V129&gt;Pregled!$B$7,W129&lt;V129),"Proveriti datume","Evidentirano")))))</f>
        <v/>
      </c>
      <c r="AH129" s="47" t="str">
        <f>IF(AND(Z129="Da",AA129&lt;&gt;"",AB129&lt;&gt;"",AC129&lt;&gt;"",ISNUMBER(AD129),AD129&gt;=36526,AD129&lt;=73050,AD129&lt;=Pregled!$B$7,AF129="Popunjeno",AG129="Evidentirano",OR(H129="Pilot",H129="Uslovno odobreno",H129="Odobreno")),COUNT($AH$7:AH128)+1,"")</f>
        <v/>
      </c>
    </row>
    <row r="130" ht="54.0" customHeight="1">
      <c r="A130" s="36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9"/>
      <c r="W130" s="39"/>
      <c r="X130" s="37"/>
      <c r="Y130" s="37"/>
      <c r="Z130" s="37"/>
      <c r="AA130" s="37"/>
      <c r="AB130" s="37"/>
      <c r="AC130" s="37"/>
      <c r="AD130" s="39"/>
      <c r="AE130" s="46" t="str">
        <f>IF(COUNTA(A130:AD130)=0,"",IF(OR(H130="Povučeno",H130="Odbijeno",H130="Obustavljeno"),"Nije aktivno",IF(W130="","Nije određen",IF(OR(NOT(ISNUMBER(W130)),W130&lt;36526,W130&gt;73050),"Proveriti datum",IF(W130&lt;Pregled!$B$7,"Kasni",IF(W130&lt;=Pregled!$B$7+Pregled!$F$7,"Uskoro","U roku"))))))</f>
        <v/>
      </c>
      <c r="AF130" s="46" t="str">
        <f>IF(COUNTA(A130:AD130)=0,"",IF(A130="","Nedostaje ID",IF(COUNTIFS($A$8:$A$207,A130)&gt;1,"Duplikat ID",IF(OR(B130="",E130="",G130="",COUNTIF(Liste!$B$7:$B$13,H130)=0),"Dopuniti osnovno","Popunjeno"))))</f>
        <v/>
      </c>
      <c r="AG130" s="46" t="str">
        <f>IF(COUNTA(A130:AD130)=0,"",IF(NOT(OR(H130="Pilot",H130="Uslovno odobreno",H130="Odobreno")),"Nije aktivna odluka",IF(OR(K130="",N130="",O130="",P130="",Q130="",R130="",S130="",T130="",U130="",V130="",W130="",X130=""),"Dopuniti evidenciju",IF(OR(NOT(ISNUMBER(V130)),NOT(ISNUMBER(W130))),"Proveriti datume",IF(OR(V130&lt;36526,V130&gt;73050,W130&lt;36526,W130&gt;73050,V130&gt;Pregled!$B$7,W130&lt;V130),"Proveriti datume","Evidentirano")))))</f>
        <v/>
      </c>
      <c r="AH130" s="47" t="str">
        <f>IF(AND(Z130="Da",AA130&lt;&gt;"",AB130&lt;&gt;"",AC130&lt;&gt;"",ISNUMBER(AD130),AD130&gt;=36526,AD130&lt;=73050,AD130&lt;=Pregled!$B$7,AF130="Popunjeno",AG130="Evidentirano",OR(H130="Pilot",H130="Uslovno odobreno",H130="Odobreno")),COUNT($AH$7:AH129)+1,"")</f>
        <v/>
      </c>
    </row>
    <row r="131" ht="54.0" customHeight="1">
      <c r="A131" s="36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9"/>
      <c r="W131" s="39"/>
      <c r="X131" s="37"/>
      <c r="Y131" s="37"/>
      <c r="Z131" s="37"/>
      <c r="AA131" s="37"/>
      <c r="AB131" s="37"/>
      <c r="AC131" s="37"/>
      <c r="AD131" s="39"/>
      <c r="AE131" s="46" t="str">
        <f>IF(COUNTA(A131:AD131)=0,"",IF(OR(H131="Povučeno",H131="Odbijeno",H131="Obustavljeno"),"Nije aktivno",IF(W131="","Nije određen",IF(OR(NOT(ISNUMBER(W131)),W131&lt;36526,W131&gt;73050),"Proveriti datum",IF(W131&lt;Pregled!$B$7,"Kasni",IF(W131&lt;=Pregled!$B$7+Pregled!$F$7,"Uskoro","U roku"))))))</f>
        <v/>
      </c>
      <c r="AF131" s="46" t="str">
        <f>IF(COUNTA(A131:AD131)=0,"",IF(A131="","Nedostaje ID",IF(COUNTIFS($A$8:$A$207,A131)&gt;1,"Duplikat ID",IF(OR(B131="",E131="",G131="",COUNTIF(Liste!$B$7:$B$13,H131)=0),"Dopuniti osnovno","Popunjeno"))))</f>
        <v/>
      </c>
      <c r="AG131" s="46" t="str">
        <f>IF(COUNTA(A131:AD131)=0,"",IF(NOT(OR(H131="Pilot",H131="Uslovno odobreno",H131="Odobreno")),"Nije aktivna odluka",IF(OR(K131="",N131="",O131="",P131="",Q131="",R131="",S131="",T131="",U131="",V131="",W131="",X131=""),"Dopuniti evidenciju",IF(OR(NOT(ISNUMBER(V131)),NOT(ISNUMBER(W131))),"Proveriti datume",IF(OR(V131&lt;36526,V131&gt;73050,W131&lt;36526,W131&gt;73050,V131&gt;Pregled!$B$7,W131&lt;V131),"Proveriti datume","Evidentirano")))))</f>
        <v/>
      </c>
      <c r="AH131" s="47" t="str">
        <f>IF(AND(Z131="Da",AA131&lt;&gt;"",AB131&lt;&gt;"",AC131&lt;&gt;"",ISNUMBER(AD131),AD131&gt;=36526,AD131&lt;=73050,AD131&lt;=Pregled!$B$7,AF131="Popunjeno",AG131="Evidentirano",OR(H131="Pilot",H131="Uslovno odobreno",H131="Odobreno")),COUNT($AH$7:AH130)+1,"")</f>
        <v/>
      </c>
    </row>
    <row r="132" ht="54.0" customHeight="1">
      <c r="A132" s="36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9"/>
      <c r="W132" s="39"/>
      <c r="X132" s="37"/>
      <c r="Y132" s="37"/>
      <c r="Z132" s="37"/>
      <c r="AA132" s="37"/>
      <c r="AB132" s="37"/>
      <c r="AC132" s="37"/>
      <c r="AD132" s="39"/>
      <c r="AE132" s="46" t="str">
        <f>IF(COUNTA(A132:AD132)=0,"",IF(OR(H132="Povučeno",H132="Odbijeno",H132="Obustavljeno"),"Nije aktivno",IF(W132="","Nije određen",IF(OR(NOT(ISNUMBER(W132)),W132&lt;36526,W132&gt;73050),"Proveriti datum",IF(W132&lt;Pregled!$B$7,"Kasni",IF(W132&lt;=Pregled!$B$7+Pregled!$F$7,"Uskoro","U roku"))))))</f>
        <v/>
      </c>
      <c r="AF132" s="46" t="str">
        <f>IF(COUNTA(A132:AD132)=0,"",IF(A132="","Nedostaje ID",IF(COUNTIFS($A$8:$A$207,A132)&gt;1,"Duplikat ID",IF(OR(B132="",E132="",G132="",COUNTIF(Liste!$B$7:$B$13,H132)=0),"Dopuniti osnovno","Popunjeno"))))</f>
        <v/>
      </c>
      <c r="AG132" s="46" t="str">
        <f>IF(COUNTA(A132:AD132)=0,"",IF(NOT(OR(H132="Pilot",H132="Uslovno odobreno",H132="Odobreno")),"Nije aktivna odluka",IF(OR(K132="",N132="",O132="",P132="",Q132="",R132="",S132="",T132="",U132="",V132="",W132="",X132=""),"Dopuniti evidenciju",IF(OR(NOT(ISNUMBER(V132)),NOT(ISNUMBER(W132))),"Proveriti datume",IF(OR(V132&lt;36526,V132&gt;73050,W132&lt;36526,W132&gt;73050,V132&gt;Pregled!$B$7,W132&lt;V132),"Proveriti datume","Evidentirano")))))</f>
        <v/>
      </c>
      <c r="AH132" s="47" t="str">
        <f>IF(AND(Z132="Da",AA132&lt;&gt;"",AB132&lt;&gt;"",AC132&lt;&gt;"",ISNUMBER(AD132),AD132&gt;=36526,AD132&lt;=73050,AD132&lt;=Pregled!$B$7,AF132="Popunjeno",AG132="Evidentirano",OR(H132="Pilot",H132="Uslovno odobreno",H132="Odobreno")),COUNT($AH$7:AH131)+1,"")</f>
        <v/>
      </c>
    </row>
    <row r="133" ht="54.0" customHeight="1">
      <c r="A133" s="36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9"/>
      <c r="W133" s="39"/>
      <c r="X133" s="37"/>
      <c r="Y133" s="37"/>
      <c r="Z133" s="37"/>
      <c r="AA133" s="37"/>
      <c r="AB133" s="37"/>
      <c r="AC133" s="37"/>
      <c r="AD133" s="39"/>
      <c r="AE133" s="46" t="str">
        <f>IF(COUNTA(A133:AD133)=0,"",IF(OR(H133="Povučeno",H133="Odbijeno",H133="Obustavljeno"),"Nije aktivno",IF(W133="","Nije određen",IF(OR(NOT(ISNUMBER(W133)),W133&lt;36526,W133&gt;73050),"Proveriti datum",IF(W133&lt;Pregled!$B$7,"Kasni",IF(W133&lt;=Pregled!$B$7+Pregled!$F$7,"Uskoro","U roku"))))))</f>
        <v/>
      </c>
      <c r="AF133" s="46" t="str">
        <f>IF(COUNTA(A133:AD133)=0,"",IF(A133="","Nedostaje ID",IF(COUNTIFS($A$8:$A$207,A133)&gt;1,"Duplikat ID",IF(OR(B133="",E133="",G133="",COUNTIF(Liste!$B$7:$B$13,H133)=0),"Dopuniti osnovno","Popunjeno"))))</f>
        <v/>
      </c>
      <c r="AG133" s="46" t="str">
        <f>IF(COUNTA(A133:AD133)=0,"",IF(NOT(OR(H133="Pilot",H133="Uslovno odobreno",H133="Odobreno")),"Nije aktivna odluka",IF(OR(K133="",N133="",O133="",P133="",Q133="",R133="",S133="",T133="",U133="",V133="",W133="",X133=""),"Dopuniti evidenciju",IF(OR(NOT(ISNUMBER(V133)),NOT(ISNUMBER(W133))),"Proveriti datume",IF(OR(V133&lt;36526,V133&gt;73050,W133&lt;36526,W133&gt;73050,V133&gt;Pregled!$B$7,W133&lt;V133),"Proveriti datume","Evidentirano")))))</f>
        <v/>
      </c>
      <c r="AH133" s="47" t="str">
        <f>IF(AND(Z133="Da",AA133&lt;&gt;"",AB133&lt;&gt;"",AC133&lt;&gt;"",ISNUMBER(AD133),AD133&gt;=36526,AD133&lt;=73050,AD133&lt;=Pregled!$B$7,AF133="Popunjeno",AG133="Evidentirano",OR(H133="Pilot",H133="Uslovno odobreno",H133="Odobreno")),COUNT($AH$7:AH132)+1,"")</f>
        <v/>
      </c>
    </row>
    <row r="134" ht="54.0" customHeight="1">
      <c r="A134" s="36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9"/>
      <c r="W134" s="39"/>
      <c r="X134" s="37"/>
      <c r="Y134" s="37"/>
      <c r="Z134" s="37"/>
      <c r="AA134" s="37"/>
      <c r="AB134" s="37"/>
      <c r="AC134" s="37"/>
      <c r="AD134" s="39"/>
      <c r="AE134" s="46" t="str">
        <f>IF(COUNTA(A134:AD134)=0,"",IF(OR(H134="Povučeno",H134="Odbijeno",H134="Obustavljeno"),"Nije aktivno",IF(W134="","Nije određen",IF(OR(NOT(ISNUMBER(W134)),W134&lt;36526,W134&gt;73050),"Proveriti datum",IF(W134&lt;Pregled!$B$7,"Kasni",IF(W134&lt;=Pregled!$B$7+Pregled!$F$7,"Uskoro","U roku"))))))</f>
        <v/>
      </c>
      <c r="AF134" s="46" t="str">
        <f>IF(COUNTA(A134:AD134)=0,"",IF(A134="","Nedostaje ID",IF(COUNTIFS($A$8:$A$207,A134)&gt;1,"Duplikat ID",IF(OR(B134="",E134="",G134="",COUNTIF(Liste!$B$7:$B$13,H134)=0),"Dopuniti osnovno","Popunjeno"))))</f>
        <v/>
      </c>
      <c r="AG134" s="46" t="str">
        <f>IF(COUNTA(A134:AD134)=0,"",IF(NOT(OR(H134="Pilot",H134="Uslovno odobreno",H134="Odobreno")),"Nije aktivna odluka",IF(OR(K134="",N134="",O134="",P134="",Q134="",R134="",S134="",T134="",U134="",V134="",W134="",X134=""),"Dopuniti evidenciju",IF(OR(NOT(ISNUMBER(V134)),NOT(ISNUMBER(W134))),"Proveriti datume",IF(OR(V134&lt;36526,V134&gt;73050,W134&lt;36526,W134&gt;73050,V134&gt;Pregled!$B$7,W134&lt;V134),"Proveriti datume","Evidentirano")))))</f>
        <v/>
      </c>
      <c r="AH134" s="47" t="str">
        <f>IF(AND(Z134="Da",AA134&lt;&gt;"",AB134&lt;&gt;"",AC134&lt;&gt;"",ISNUMBER(AD134),AD134&gt;=36526,AD134&lt;=73050,AD134&lt;=Pregled!$B$7,AF134="Popunjeno",AG134="Evidentirano",OR(H134="Pilot",H134="Uslovno odobreno",H134="Odobreno")),COUNT($AH$7:AH133)+1,"")</f>
        <v/>
      </c>
    </row>
    <row r="135" ht="54.0" customHeight="1">
      <c r="A135" s="36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9"/>
      <c r="W135" s="39"/>
      <c r="X135" s="37"/>
      <c r="Y135" s="37"/>
      <c r="Z135" s="37"/>
      <c r="AA135" s="37"/>
      <c r="AB135" s="37"/>
      <c r="AC135" s="37"/>
      <c r="AD135" s="39"/>
      <c r="AE135" s="46" t="str">
        <f>IF(COUNTA(A135:AD135)=0,"",IF(OR(H135="Povučeno",H135="Odbijeno",H135="Obustavljeno"),"Nije aktivno",IF(W135="","Nije određen",IF(OR(NOT(ISNUMBER(W135)),W135&lt;36526,W135&gt;73050),"Proveriti datum",IF(W135&lt;Pregled!$B$7,"Kasni",IF(W135&lt;=Pregled!$B$7+Pregled!$F$7,"Uskoro","U roku"))))))</f>
        <v/>
      </c>
      <c r="AF135" s="46" t="str">
        <f>IF(COUNTA(A135:AD135)=0,"",IF(A135="","Nedostaje ID",IF(COUNTIFS($A$8:$A$207,A135)&gt;1,"Duplikat ID",IF(OR(B135="",E135="",G135="",COUNTIF(Liste!$B$7:$B$13,H135)=0),"Dopuniti osnovno","Popunjeno"))))</f>
        <v/>
      </c>
      <c r="AG135" s="46" t="str">
        <f>IF(COUNTA(A135:AD135)=0,"",IF(NOT(OR(H135="Pilot",H135="Uslovno odobreno",H135="Odobreno")),"Nije aktivna odluka",IF(OR(K135="",N135="",O135="",P135="",Q135="",R135="",S135="",T135="",U135="",V135="",W135="",X135=""),"Dopuniti evidenciju",IF(OR(NOT(ISNUMBER(V135)),NOT(ISNUMBER(W135))),"Proveriti datume",IF(OR(V135&lt;36526,V135&gt;73050,W135&lt;36526,W135&gt;73050,V135&gt;Pregled!$B$7,W135&lt;V135),"Proveriti datume","Evidentirano")))))</f>
        <v/>
      </c>
      <c r="AH135" s="47" t="str">
        <f>IF(AND(Z135="Da",AA135&lt;&gt;"",AB135&lt;&gt;"",AC135&lt;&gt;"",ISNUMBER(AD135),AD135&gt;=36526,AD135&lt;=73050,AD135&lt;=Pregled!$B$7,AF135="Popunjeno",AG135="Evidentirano",OR(H135="Pilot",H135="Uslovno odobreno",H135="Odobreno")),COUNT($AH$7:AH134)+1,"")</f>
        <v/>
      </c>
    </row>
    <row r="136" ht="54.0" customHeigh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9"/>
      <c r="W136" s="39"/>
      <c r="X136" s="37"/>
      <c r="Y136" s="37"/>
      <c r="Z136" s="37"/>
      <c r="AA136" s="37"/>
      <c r="AB136" s="37"/>
      <c r="AC136" s="37"/>
      <c r="AD136" s="39"/>
      <c r="AE136" s="46" t="str">
        <f>IF(COUNTA(A136:AD136)=0,"",IF(OR(H136="Povučeno",H136="Odbijeno",H136="Obustavljeno"),"Nije aktivno",IF(W136="","Nije određen",IF(OR(NOT(ISNUMBER(W136)),W136&lt;36526,W136&gt;73050),"Proveriti datum",IF(W136&lt;Pregled!$B$7,"Kasni",IF(W136&lt;=Pregled!$B$7+Pregled!$F$7,"Uskoro","U roku"))))))</f>
        <v/>
      </c>
      <c r="AF136" s="46" t="str">
        <f>IF(COUNTA(A136:AD136)=0,"",IF(A136="","Nedostaje ID",IF(COUNTIFS($A$8:$A$207,A136)&gt;1,"Duplikat ID",IF(OR(B136="",E136="",G136="",COUNTIF(Liste!$B$7:$B$13,H136)=0),"Dopuniti osnovno","Popunjeno"))))</f>
        <v/>
      </c>
      <c r="AG136" s="46" t="str">
        <f>IF(COUNTA(A136:AD136)=0,"",IF(NOT(OR(H136="Pilot",H136="Uslovno odobreno",H136="Odobreno")),"Nije aktivna odluka",IF(OR(K136="",N136="",O136="",P136="",Q136="",R136="",S136="",T136="",U136="",V136="",W136="",X136=""),"Dopuniti evidenciju",IF(OR(NOT(ISNUMBER(V136)),NOT(ISNUMBER(W136))),"Proveriti datume",IF(OR(V136&lt;36526,V136&gt;73050,W136&lt;36526,W136&gt;73050,V136&gt;Pregled!$B$7,W136&lt;V136),"Proveriti datume","Evidentirano")))))</f>
        <v/>
      </c>
      <c r="AH136" s="47" t="str">
        <f>IF(AND(Z136="Da",AA136&lt;&gt;"",AB136&lt;&gt;"",AC136&lt;&gt;"",ISNUMBER(AD136),AD136&gt;=36526,AD136&lt;=73050,AD136&lt;=Pregled!$B$7,AF136="Popunjeno",AG136="Evidentirano",OR(H136="Pilot",H136="Uslovno odobreno",H136="Odobreno")),COUNT($AH$7:AH135)+1,"")</f>
        <v/>
      </c>
    </row>
    <row r="137" ht="54.0" customHeigh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9"/>
      <c r="W137" s="39"/>
      <c r="X137" s="37"/>
      <c r="Y137" s="37"/>
      <c r="Z137" s="37"/>
      <c r="AA137" s="37"/>
      <c r="AB137" s="37"/>
      <c r="AC137" s="37"/>
      <c r="AD137" s="39"/>
      <c r="AE137" s="46" t="str">
        <f>IF(COUNTA(A137:AD137)=0,"",IF(OR(H137="Povučeno",H137="Odbijeno",H137="Obustavljeno"),"Nije aktivno",IF(W137="","Nije određen",IF(OR(NOT(ISNUMBER(W137)),W137&lt;36526,W137&gt;73050),"Proveriti datum",IF(W137&lt;Pregled!$B$7,"Kasni",IF(W137&lt;=Pregled!$B$7+Pregled!$F$7,"Uskoro","U roku"))))))</f>
        <v/>
      </c>
      <c r="AF137" s="46" t="str">
        <f>IF(COUNTA(A137:AD137)=0,"",IF(A137="","Nedostaje ID",IF(COUNTIFS($A$8:$A$207,A137)&gt;1,"Duplikat ID",IF(OR(B137="",E137="",G137="",COUNTIF(Liste!$B$7:$B$13,H137)=0),"Dopuniti osnovno","Popunjeno"))))</f>
        <v/>
      </c>
      <c r="AG137" s="46" t="str">
        <f>IF(COUNTA(A137:AD137)=0,"",IF(NOT(OR(H137="Pilot",H137="Uslovno odobreno",H137="Odobreno")),"Nije aktivna odluka",IF(OR(K137="",N137="",O137="",P137="",Q137="",R137="",S137="",T137="",U137="",V137="",W137="",X137=""),"Dopuniti evidenciju",IF(OR(NOT(ISNUMBER(V137)),NOT(ISNUMBER(W137))),"Proveriti datume",IF(OR(V137&lt;36526,V137&gt;73050,W137&lt;36526,W137&gt;73050,V137&gt;Pregled!$B$7,W137&lt;V137),"Proveriti datume","Evidentirano")))))</f>
        <v/>
      </c>
      <c r="AH137" s="47" t="str">
        <f>IF(AND(Z137="Da",AA137&lt;&gt;"",AB137&lt;&gt;"",AC137&lt;&gt;"",ISNUMBER(AD137),AD137&gt;=36526,AD137&lt;=73050,AD137&lt;=Pregled!$B$7,AF137="Popunjeno",AG137="Evidentirano",OR(H137="Pilot",H137="Uslovno odobreno",H137="Odobreno")),COUNT($AH$7:AH136)+1,"")</f>
        <v/>
      </c>
    </row>
    <row r="138" ht="54.0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9"/>
      <c r="W138" s="39"/>
      <c r="X138" s="37"/>
      <c r="Y138" s="37"/>
      <c r="Z138" s="37"/>
      <c r="AA138" s="37"/>
      <c r="AB138" s="37"/>
      <c r="AC138" s="37"/>
      <c r="AD138" s="39"/>
      <c r="AE138" s="46" t="str">
        <f>IF(COUNTA(A138:AD138)=0,"",IF(OR(H138="Povučeno",H138="Odbijeno",H138="Obustavljeno"),"Nije aktivno",IF(W138="","Nije određen",IF(OR(NOT(ISNUMBER(W138)),W138&lt;36526,W138&gt;73050),"Proveriti datum",IF(W138&lt;Pregled!$B$7,"Kasni",IF(W138&lt;=Pregled!$B$7+Pregled!$F$7,"Uskoro","U roku"))))))</f>
        <v/>
      </c>
      <c r="AF138" s="46" t="str">
        <f>IF(COUNTA(A138:AD138)=0,"",IF(A138="","Nedostaje ID",IF(COUNTIFS($A$8:$A$207,A138)&gt;1,"Duplikat ID",IF(OR(B138="",E138="",G138="",COUNTIF(Liste!$B$7:$B$13,H138)=0),"Dopuniti osnovno","Popunjeno"))))</f>
        <v/>
      </c>
      <c r="AG138" s="46" t="str">
        <f>IF(COUNTA(A138:AD138)=0,"",IF(NOT(OR(H138="Pilot",H138="Uslovno odobreno",H138="Odobreno")),"Nije aktivna odluka",IF(OR(K138="",N138="",O138="",P138="",Q138="",R138="",S138="",T138="",U138="",V138="",W138="",X138=""),"Dopuniti evidenciju",IF(OR(NOT(ISNUMBER(V138)),NOT(ISNUMBER(W138))),"Proveriti datume",IF(OR(V138&lt;36526,V138&gt;73050,W138&lt;36526,W138&gt;73050,V138&gt;Pregled!$B$7,W138&lt;V138),"Proveriti datume","Evidentirano")))))</f>
        <v/>
      </c>
      <c r="AH138" s="47" t="str">
        <f>IF(AND(Z138="Da",AA138&lt;&gt;"",AB138&lt;&gt;"",AC138&lt;&gt;"",ISNUMBER(AD138),AD138&gt;=36526,AD138&lt;=73050,AD138&lt;=Pregled!$B$7,AF138="Popunjeno",AG138="Evidentirano",OR(H138="Pilot",H138="Uslovno odobreno",H138="Odobreno")),COUNT($AH$7:AH137)+1,"")</f>
        <v/>
      </c>
    </row>
    <row r="139" ht="54.0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9"/>
      <c r="W139" s="39"/>
      <c r="X139" s="37"/>
      <c r="Y139" s="37"/>
      <c r="Z139" s="37"/>
      <c r="AA139" s="37"/>
      <c r="AB139" s="37"/>
      <c r="AC139" s="37"/>
      <c r="AD139" s="39"/>
      <c r="AE139" s="46" t="str">
        <f>IF(COUNTA(A139:AD139)=0,"",IF(OR(H139="Povučeno",H139="Odbijeno",H139="Obustavljeno"),"Nije aktivno",IF(W139="","Nije određen",IF(OR(NOT(ISNUMBER(W139)),W139&lt;36526,W139&gt;73050),"Proveriti datum",IF(W139&lt;Pregled!$B$7,"Kasni",IF(W139&lt;=Pregled!$B$7+Pregled!$F$7,"Uskoro","U roku"))))))</f>
        <v/>
      </c>
      <c r="AF139" s="46" t="str">
        <f>IF(COUNTA(A139:AD139)=0,"",IF(A139="","Nedostaje ID",IF(COUNTIFS($A$8:$A$207,A139)&gt;1,"Duplikat ID",IF(OR(B139="",E139="",G139="",COUNTIF(Liste!$B$7:$B$13,H139)=0),"Dopuniti osnovno","Popunjeno"))))</f>
        <v/>
      </c>
      <c r="AG139" s="46" t="str">
        <f>IF(COUNTA(A139:AD139)=0,"",IF(NOT(OR(H139="Pilot",H139="Uslovno odobreno",H139="Odobreno")),"Nije aktivna odluka",IF(OR(K139="",N139="",O139="",P139="",Q139="",R139="",S139="",T139="",U139="",V139="",W139="",X139=""),"Dopuniti evidenciju",IF(OR(NOT(ISNUMBER(V139)),NOT(ISNUMBER(W139))),"Proveriti datume",IF(OR(V139&lt;36526,V139&gt;73050,W139&lt;36526,W139&gt;73050,V139&gt;Pregled!$B$7,W139&lt;V139),"Proveriti datume","Evidentirano")))))</f>
        <v/>
      </c>
      <c r="AH139" s="47" t="str">
        <f>IF(AND(Z139="Da",AA139&lt;&gt;"",AB139&lt;&gt;"",AC139&lt;&gt;"",ISNUMBER(AD139),AD139&gt;=36526,AD139&lt;=73050,AD139&lt;=Pregled!$B$7,AF139="Popunjeno",AG139="Evidentirano",OR(H139="Pilot",H139="Uslovno odobreno",H139="Odobreno")),COUNT($AH$7:AH138)+1,"")</f>
        <v/>
      </c>
    </row>
    <row r="140" ht="54.0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9"/>
      <c r="W140" s="39"/>
      <c r="X140" s="37"/>
      <c r="Y140" s="37"/>
      <c r="Z140" s="37"/>
      <c r="AA140" s="37"/>
      <c r="AB140" s="37"/>
      <c r="AC140" s="37"/>
      <c r="AD140" s="39"/>
      <c r="AE140" s="46" t="str">
        <f>IF(COUNTA(A140:AD140)=0,"",IF(OR(H140="Povučeno",H140="Odbijeno",H140="Obustavljeno"),"Nije aktivno",IF(W140="","Nije određen",IF(OR(NOT(ISNUMBER(W140)),W140&lt;36526,W140&gt;73050),"Proveriti datum",IF(W140&lt;Pregled!$B$7,"Kasni",IF(W140&lt;=Pregled!$B$7+Pregled!$F$7,"Uskoro","U roku"))))))</f>
        <v/>
      </c>
      <c r="AF140" s="46" t="str">
        <f>IF(COUNTA(A140:AD140)=0,"",IF(A140="","Nedostaje ID",IF(COUNTIFS($A$8:$A$207,A140)&gt;1,"Duplikat ID",IF(OR(B140="",E140="",G140="",COUNTIF(Liste!$B$7:$B$13,H140)=0),"Dopuniti osnovno","Popunjeno"))))</f>
        <v/>
      </c>
      <c r="AG140" s="46" t="str">
        <f>IF(COUNTA(A140:AD140)=0,"",IF(NOT(OR(H140="Pilot",H140="Uslovno odobreno",H140="Odobreno")),"Nije aktivna odluka",IF(OR(K140="",N140="",O140="",P140="",Q140="",R140="",S140="",T140="",U140="",V140="",W140="",X140=""),"Dopuniti evidenciju",IF(OR(NOT(ISNUMBER(V140)),NOT(ISNUMBER(W140))),"Proveriti datume",IF(OR(V140&lt;36526,V140&gt;73050,W140&lt;36526,W140&gt;73050,V140&gt;Pregled!$B$7,W140&lt;V140),"Proveriti datume","Evidentirano")))))</f>
        <v/>
      </c>
      <c r="AH140" s="47" t="str">
        <f>IF(AND(Z140="Da",AA140&lt;&gt;"",AB140&lt;&gt;"",AC140&lt;&gt;"",ISNUMBER(AD140),AD140&gt;=36526,AD140&lt;=73050,AD140&lt;=Pregled!$B$7,AF140="Popunjeno",AG140="Evidentirano",OR(H140="Pilot",H140="Uslovno odobreno",H140="Odobreno")),COUNT($AH$7:AH139)+1,"")</f>
        <v/>
      </c>
    </row>
    <row r="141" ht="54.0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9"/>
      <c r="W141" s="39"/>
      <c r="X141" s="37"/>
      <c r="Y141" s="37"/>
      <c r="Z141" s="37"/>
      <c r="AA141" s="37"/>
      <c r="AB141" s="37"/>
      <c r="AC141" s="37"/>
      <c r="AD141" s="39"/>
      <c r="AE141" s="46" t="str">
        <f>IF(COUNTA(A141:AD141)=0,"",IF(OR(H141="Povučeno",H141="Odbijeno",H141="Obustavljeno"),"Nije aktivno",IF(W141="","Nije određen",IF(OR(NOT(ISNUMBER(W141)),W141&lt;36526,W141&gt;73050),"Proveriti datum",IF(W141&lt;Pregled!$B$7,"Kasni",IF(W141&lt;=Pregled!$B$7+Pregled!$F$7,"Uskoro","U roku"))))))</f>
        <v/>
      </c>
      <c r="AF141" s="46" t="str">
        <f>IF(COUNTA(A141:AD141)=0,"",IF(A141="","Nedostaje ID",IF(COUNTIFS($A$8:$A$207,A141)&gt;1,"Duplikat ID",IF(OR(B141="",E141="",G141="",COUNTIF(Liste!$B$7:$B$13,H141)=0),"Dopuniti osnovno","Popunjeno"))))</f>
        <v/>
      </c>
      <c r="AG141" s="46" t="str">
        <f>IF(COUNTA(A141:AD141)=0,"",IF(NOT(OR(H141="Pilot",H141="Uslovno odobreno",H141="Odobreno")),"Nije aktivna odluka",IF(OR(K141="",N141="",O141="",P141="",Q141="",R141="",S141="",T141="",U141="",V141="",W141="",X141=""),"Dopuniti evidenciju",IF(OR(NOT(ISNUMBER(V141)),NOT(ISNUMBER(W141))),"Proveriti datume",IF(OR(V141&lt;36526,V141&gt;73050,W141&lt;36526,W141&gt;73050,V141&gt;Pregled!$B$7,W141&lt;V141),"Proveriti datume","Evidentirano")))))</f>
        <v/>
      </c>
      <c r="AH141" s="47" t="str">
        <f>IF(AND(Z141="Da",AA141&lt;&gt;"",AB141&lt;&gt;"",AC141&lt;&gt;"",ISNUMBER(AD141),AD141&gt;=36526,AD141&lt;=73050,AD141&lt;=Pregled!$B$7,AF141="Popunjeno",AG141="Evidentirano",OR(H141="Pilot",H141="Uslovno odobreno",H141="Odobreno")),COUNT($AH$7:AH140)+1,"")</f>
        <v/>
      </c>
    </row>
    <row r="142" ht="54.0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9"/>
      <c r="W142" s="39"/>
      <c r="X142" s="37"/>
      <c r="Y142" s="37"/>
      <c r="Z142" s="37"/>
      <c r="AA142" s="37"/>
      <c r="AB142" s="37"/>
      <c r="AC142" s="37"/>
      <c r="AD142" s="39"/>
      <c r="AE142" s="46" t="str">
        <f>IF(COUNTA(A142:AD142)=0,"",IF(OR(H142="Povučeno",H142="Odbijeno",H142="Obustavljeno"),"Nije aktivno",IF(W142="","Nije određen",IF(OR(NOT(ISNUMBER(W142)),W142&lt;36526,W142&gt;73050),"Proveriti datum",IF(W142&lt;Pregled!$B$7,"Kasni",IF(W142&lt;=Pregled!$B$7+Pregled!$F$7,"Uskoro","U roku"))))))</f>
        <v/>
      </c>
      <c r="AF142" s="46" t="str">
        <f>IF(COUNTA(A142:AD142)=0,"",IF(A142="","Nedostaje ID",IF(COUNTIFS($A$8:$A$207,A142)&gt;1,"Duplikat ID",IF(OR(B142="",E142="",G142="",COUNTIF(Liste!$B$7:$B$13,H142)=0),"Dopuniti osnovno","Popunjeno"))))</f>
        <v/>
      </c>
      <c r="AG142" s="46" t="str">
        <f>IF(COUNTA(A142:AD142)=0,"",IF(NOT(OR(H142="Pilot",H142="Uslovno odobreno",H142="Odobreno")),"Nije aktivna odluka",IF(OR(K142="",N142="",O142="",P142="",Q142="",R142="",S142="",T142="",U142="",V142="",W142="",X142=""),"Dopuniti evidenciju",IF(OR(NOT(ISNUMBER(V142)),NOT(ISNUMBER(W142))),"Proveriti datume",IF(OR(V142&lt;36526,V142&gt;73050,W142&lt;36526,W142&gt;73050,V142&gt;Pregled!$B$7,W142&lt;V142),"Proveriti datume","Evidentirano")))))</f>
        <v/>
      </c>
      <c r="AH142" s="47" t="str">
        <f>IF(AND(Z142="Da",AA142&lt;&gt;"",AB142&lt;&gt;"",AC142&lt;&gt;"",ISNUMBER(AD142),AD142&gt;=36526,AD142&lt;=73050,AD142&lt;=Pregled!$B$7,AF142="Popunjeno",AG142="Evidentirano",OR(H142="Pilot",H142="Uslovno odobreno",H142="Odobreno")),COUNT($AH$7:AH141)+1,"")</f>
        <v/>
      </c>
    </row>
    <row r="143" ht="54.0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9"/>
      <c r="W143" s="39"/>
      <c r="X143" s="37"/>
      <c r="Y143" s="37"/>
      <c r="Z143" s="37"/>
      <c r="AA143" s="37"/>
      <c r="AB143" s="37"/>
      <c r="AC143" s="37"/>
      <c r="AD143" s="39"/>
      <c r="AE143" s="46" t="str">
        <f>IF(COUNTA(A143:AD143)=0,"",IF(OR(H143="Povučeno",H143="Odbijeno",H143="Obustavljeno"),"Nije aktivno",IF(W143="","Nije određen",IF(OR(NOT(ISNUMBER(W143)),W143&lt;36526,W143&gt;73050),"Proveriti datum",IF(W143&lt;Pregled!$B$7,"Kasni",IF(W143&lt;=Pregled!$B$7+Pregled!$F$7,"Uskoro","U roku"))))))</f>
        <v/>
      </c>
      <c r="AF143" s="46" t="str">
        <f>IF(COUNTA(A143:AD143)=0,"",IF(A143="","Nedostaje ID",IF(COUNTIFS($A$8:$A$207,A143)&gt;1,"Duplikat ID",IF(OR(B143="",E143="",G143="",COUNTIF(Liste!$B$7:$B$13,H143)=0),"Dopuniti osnovno","Popunjeno"))))</f>
        <v/>
      </c>
      <c r="AG143" s="46" t="str">
        <f>IF(COUNTA(A143:AD143)=0,"",IF(NOT(OR(H143="Pilot",H143="Uslovno odobreno",H143="Odobreno")),"Nije aktivna odluka",IF(OR(K143="",N143="",O143="",P143="",Q143="",R143="",S143="",T143="",U143="",V143="",W143="",X143=""),"Dopuniti evidenciju",IF(OR(NOT(ISNUMBER(V143)),NOT(ISNUMBER(W143))),"Proveriti datume",IF(OR(V143&lt;36526,V143&gt;73050,W143&lt;36526,W143&gt;73050,V143&gt;Pregled!$B$7,W143&lt;V143),"Proveriti datume","Evidentirano")))))</f>
        <v/>
      </c>
      <c r="AH143" s="47" t="str">
        <f>IF(AND(Z143="Da",AA143&lt;&gt;"",AB143&lt;&gt;"",AC143&lt;&gt;"",ISNUMBER(AD143),AD143&gt;=36526,AD143&lt;=73050,AD143&lt;=Pregled!$B$7,AF143="Popunjeno",AG143="Evidentirano",OR(H143="Pilot",H143="Uslovno odobreno",H143="Odobreno")),COUNT($AH$7:AH142)+1,"")</f>
        <v/>
      </c>
    </row>
    <row r="144" ht="54.0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9"/>
      <c r="W144" s="39"/>
      <c r="X144" s="37"/>
      <c r="Y144" s="37"/>
      <c r="Z144" s="37"/>
      <c r="AA144" s="37"/>
      <c r="AB144" s="37"/>
      <c r="AC144" s="37"/>
      <c r="AD144" s="39"/>
      <c r="AE144" s="46" t="str">
        <f>IF(COUNTA(A144:AD144)=0,"",IF(OR(H144="Povučeno",H144="Odbijeno",H144="Obustavljeno"),"Nije aktivno",IF(W144="","Nije određen",IF(OR(NOT(ISNUMBER(W144)),W144&lt;36526,W144&gt;73050),"Proveriti datum",IF(W144&lt;Pregled!$B$7,"Kasni",IF(W144&lt;=Pregled!$B$7+Pregled!$F$7,"Uskoro","U roku"))))))</f>
        <v/>
      </c>
      <c r="AF144" s="46" t="str">
        <f>IF(COUNTA(A144:AD144)=0,"",IF(A144="","Nedostaje ID",IF(COUNTIFS($A$8:$A$207,A144)&gt;1,"Duplikat ID",IF(OR(B144="",E144="",G144="",COUNTIF(Liste!$B$7:$B$13,H144)=0),"Dopuniti osnovno","Popunjeno"))))</f>
        <v/>
      </c>
      <c r="AG144" s="46" t="str">
        <f>IF(COUNTA(A144:AD144)=0,"",IF(NOT(OR(H144="Pilot",H144="Uslovno odobreno",H144="Odobreno")),"Nije aktivna odluka",IF(OR(K144="",N144="",O144="",P144="",Q144="",R144="",S144="",T144="",U144="",V144="",W144="",X144=""),"Dopuniti evidenciju",IF(OR(NOT(ISNUMBER(V144)),NOT(ISNUMBER(W144))),"Proveriti datume",IF(OR(V144&lt;36526,V144&gt;73050,W144&lt;36526,W144&gt;73050,V144&gt;Pregled!$B$7,W144&lt;V144),"Proveriti datume","Evidentirano")))))</f>
        <v/>
      </c>
      <c r="AH144" s="47" t="str">
        <f>IF(AND(Z144="Da",AA144&lt;&gt;"",AB144&lt;&gt;"",AC144&lt;&gt;"",ISNUMBER(AD144),AD144&gt;=36526,AD144&lt;=73050,AD144&lt;=Pregled!$B$7,AF144="Popunjeno",AG144="Evidentirano",OR(H144="Pilot",H144="Uslovno odobreno",H144="Odobreno")),COUNT($AH$7:AH143)+1,"")</f>
        <v/>
      </c>
    </row>
    <row r="145" ht="54.0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9"/>
      <c r="W145" s="39"/>
      <c r="X145" s="37"/>
      <c r="Y145" s="37"/>
      <c r="Z145" s="37"/>
      <c r="AA145" s="37"/>
      <c r="AB145" s="37"/>
      <c r="AC145" s="37"/>
      <c r="AD145" s="39"/>
      <c r="AE145" s="46" t="str">
        <f>IF(COUNTA(A145:AD145)=0,"",IF(OR(H145="Povučeno",H145="Odbijeno",H145="Obustavljeno"),"Nije aktivno",IF(W145="","Nije određen",IF(OR(NOT(ISNUMBER(W145)),W145&lt;36526,W145&gt;73050),"Proveriti datum",IF(W145&lt;Pregled!$B$7,"Kasni",IF(W145&lt;=Pregled!$B$7+Pregled!$F$7,"Uskoro","U roku"))))))</f>
        <v/>
      </c>
      <c r="AF145" s="46" t="str">
        <f>IF(COUNTA(A145:AD145)=0,"",IF(A145="","Nedostaje ID",IF(COUNTIFS($A$8:$A$207,A145)&gt;1,"Duplikat ID",IF(OR(B145="",E145="",G145="",COUNTIF(Liste!$B$7:$B$13,H145)=0),"Dopuniti osnovno","Popunjeno"))))</f>
        <v/>
      </c>
      <c r="AG145" s="46" t="str">
        <f>IF(COUNTA(A145:AD145)=0,"",IF(NOT(OR(H145="Pilot",H145="Uslovno odobreno",H145="Odobreno")),"Nije aktivna odluka",IF(OR(K145="",N145="",O145="",P145="",Q145="",R145="",S145="",T145="",U145="",V145="",W145="",X145=""),"Dopuniti evidenciju",IF(OR(NOT(ISNUMBER(V145)),NOT(ISNUMBER(W145))),"Proveriti datume",IF(OR(V145&lt;36526,V145&gt;73050,W145&lt;36526,W145&gt;73050,V145&gt;Pregled!$B$7,W145&lt;V145),"Proveriti datume","Evidentirano")))))</f>
        <v/>
      </c>
      <c r="AH145" s="47" t="str">
        <f>IF(AND(Z145="Da",AA145&lt;&gt;"",AB145&lt;&gt;"",AC145&lt;&gt;"",ISNUMBER(AD145),AD145&gt;=36526,AD145&lt;=73050,AD145&lt;=Pregled!$B$7,AF145="Popunjeno",AG145="Evidentirano",OR(H145="Pilot",H145="Uslovno odobreno",H145="Odobreno")),COUNT($AH$7:AH144)+1,"")</f>
        <v/>
      </c>
    </row>
    <row r="146" ht="54.0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9"/>
      <c r="W146" s="39"/>
      <c r="X146" s="37"/>
      <c r="Y146" s="37"/>
      <c r="Z146" s="37"/>
      <c r="AA146" s="37"/>
      <c r="AB146" s="37"/>
      <c r="AC146" s="37"/>
      <c r="AD146" s="39"/>
      <c r="AE146" s="46" t="str">
        <f>IF(COUNTA(A146:AD146)=0,"",IF(OR(H146="Povučeno",H146="Odbijeno",H146="Obustavljeno"),"Nije aktivno",IF(W146="","Nije određen",IF(OR(NOT(ISNUMBER(W146)),W146&lt;36526,W146&gt;73050),"Proveriti datum",IF(W146&lt;Pregled!$B$7,"Kasni",IF(W146&lt;=Pregled!$B$7+Pregled!$F$7,"Uskoro","U roku"))))))</f>
        <v/>
      </c>
      <c r="AF146" s="46" t="str">
        <f>IF(COUNTA(A146:AD146)=0,"",IF(A146="","Nedostaje ID",IF(COUNTIFS($A$8:$A$207,A146)&gt;1,"Duplikat ID",IF(OR(B146="",E146="",G146="",COUNTIF(Liste!$B$7:$B$13,H146)=0),"Dopuniti osnovno","Popunjeno"))))</f>
        <v/>
      </c>
      <c r="AG146" s="46" t="str">
        <f>IF(COUNTA(A146:AD146)=0,"",IF(NOT(OR(H146="Pilot",H146="Uslovno odobreno",H146="Odobreno")),"Nije aktivna odluka",IF(OR(K146="",N146="",O146="",P146="",Q146="",R146="",S146="",T146="",U146="",V146="",W146="",X146=""),"Dopuniti evidenciju",IF(OR(NOT(ISNUMBER(V146)),NOT(ISNUMBER(W146))),"Proveriti datume",IF(OR(V146&lt;36526,V146&gt;73050,W146&lt;36526,W146&gt;73050,V146&gt;Pregled!$B$7,W146&lt;V146),"Proveriti datume","Evidentirano")))))</f>
        <v/>
      </c>
      <c r="AH146" s="47" t="str">
        <f>IF(AND(Z146="Da",AA146&lt;&gt;"",AB146&lt;&gt;"",AC146&lt;&gt;"",ISNUMBER(AD146),AD146&gt;=36526,AD146&lt;=73050,AD146&lt;=Pregled!$B$7,AF146="Popunjeno",AG146="Evidentirano",OR(H146="Pilot",H146="Uslovno odobreno",H146="Odobreno")),COUNT($AH$7:AH145)+1,"")</f>
        <v/>
      </c>
    </row>
    <row r="147" ht="54.0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9"/>
      <c r="W147" s="39"/>
      <c r="X147" s="37"/>
      <c r="Y147" s="37"/>
      <c r="Z147" s="37"/>
      <c r="AA147" s="37"/>
      <c r="AB147" s="37"/>
      <c r="AC147" s="37"/>
      <c r="AD147" s="39"/>
      <c r="AE147" s="46" t="str">
        <f>IF(COUNTA(A147:AD147)=0,"",IF(OR(H147="Povučeno",H147="Odbijeno",H147="Obustavljeno"),"Nije aktivno",IF(W147="","Nije određen",IF(OR(NOT(ISNUMBER(W147)),W147&lt;36526,W147&gt;73050),"Proveriti datum",IF(W147&lt;Pregled!$B$7,"Kasni",IF(W147&lt;=Pregled!$B$7+Pregled!$F$7,"Uskoro","U roku"))))))</f>
        <v/>
      </c>
      <c r="AF147" s="46" t="str">
        <f>IF(COUNTA(A147:AD147)=0,"",IF(A147="","Nedostaje ID",IF(COUNTIFS($A$8:$A$207,A147)&gt;1,"Duplikat ID",IF(OR(B147="",E147="",G147="",COUNTIF(Liste!$B$7:$B$13,H147)=0),"Dopuniti osnovno","Popunjeno"))))</f>
        <v/>
      </c>
      <c r="AG147" s="46" t="str">
        <f>IF(COUNTA(A147:AD147)=0,"",IF(NOT(OR(H147="Pilot",H147="Uslovno odobreno",H147="Odobreno")),"Nije aktivna odluka",IF(OR(K147="",N147="",O147="",P147="",Q147="",R147="",S147="",T147="",U147="",V147="",W147="",X147=""),"Dopuniti evidenciju",IF(OR(NOT(ISNUMBER(V147)),NOT(ISNUMBER(W147))),"Proveriti datume",IF(OR(V147&lt;36526,V147&gt;73050,W147&lt;36526,W147&gt;73050,V147&gt;Pregled!$B$7,W147&lt;V147),"Proveriti datume","Evidentirano")))))</f>
        <v/>
      </c>
      <c r="AH147" s="47" t="str">
        <f>IF(AND(Z147="Da",AA147&lt;&gt;"",AB147&lt;&gt;"",AC147&lt;&gt;"",ISNUMBER(AD147),AD147&gt;=36526,AD147&lt;=73050,AD147&lt;=Pregled!$B$7,AF147="Popunjeno",AG147="Evidentirano",OR(H147="Pilot",H147="Uslovno odobreno",H147="Odobreno")),COUNT($AH$7:AH146)+1,"")</f>
        <v/>
      </c>
    </row>
    <row r="148" ht="54.0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9"/>
      <c r="W148" s="39"/>
      <c r="X148" s="37"/>
      <c r="Y148" s="37"/>
      <c r="Z148" s="37"/>
      <c r="AA148" s="37"/>
      <c r="AB148" s="37"/>
      <c r="AC148" s="37"/>
      <c r="AD148" s="39"/>
      <c r="AE148" s="46" t="str">
        <f>IF(COUNTA(A148:AD148)=0,"",IF(OR(H148="Povučeno",H148="Odbijeno",H148="Obustavljeno"),"Nije aktivno",IF(W148="","Nije određen",IF(OR(NOT(ISNUMBER(W148)),W148&lt;36526,W148&gt;73050),"Proveriti datum",IF(W148&lt;Pregled!$B$7,"Kasni",IF(W148&lt;=Pregled!$B$7+Pregled!$F$7,"Uskoro","U roku"))))))</f>
        <v/>
      </c>
      <c r="AF148" s="46" t="str">
        <f>IF(COUNTA(A148:AD148)=0,"",IF(A148="","Nedostaje ID",IF(COUNTIFS($A$8:$A$207,A148)&gt;1,"Duplikat ID",IF(OR(B148="",E148="",G148="",COUNTIF(Liste!$B$7:$B$13,H148)=0),"Dopuniti osnovno","Popunjeno"))))</f>
        <v/>
      </c>
      <c r="AG148" s="46" t="str">
        <f>IF(COUNTA(A148:AD148)=0,"",IF(NOT(OR(H148="Pilot",H148="Uslovno odobreno",H148="Odobreno")),"Nije aktivna odluka",IF(OR(K148="",N148="",O148="",P148="",Q148="",R148="",S148="",T148="",U148="",V148="",W148="",X148=""),"Dopuniti evidenciju",IF(OR(NOT(ISNUMBER(V148)),NOT(ISNUMBER(W148))),"Proveriti datume",IF(OR(V148&lt;36526,V148&gt;73050,W148&lt;36526,W148&gt;73050,V148&gt;Pregled!$B$7,W148&lt;V148),"Proveriti datume","Evidentirano")))))</f>
        <v/>
      </c>
      <c r="AH148" s="47" t="str">
        <f>IF(AND(Z148="Da",AA148&lt;&gt;"",AB148&lt;&gt;"",AC148&lt;&gt;"",ISNUMBER(AD148),AD148&gt;=36526,AD148&lt;=73050,AD148&lt;=Pregled!$B$7,AF148="Popunjeno",AG148="Evidentirano",OR(H148="Pilot",H148="Uslovno odobreno",H148="Odobreno")),COUNT($AH$7:AH147)+1,"")</f>
        <v/>
      </c>
    </row>
    <row r="149" ht="54.0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9"/>
      <c r="W149" s="39"/>
      <c r="X149" s="37"/>
      <c r="Y149" s="37"/>
      <c r="Z149" s="37"/>
      <c r="AA149" s="37"/>
      <c r="AB149" s="37"/>
      <c r="AC149" s="37"/>
      <c r="AD149" s="39"/>
      <c r="AE149" s="46" t="str">
        <f>IF(COUNTA(A149:AD149)=0,"",IF(OR(H149="Povučeno",H149="Odbijeno",H149="Obustavljeno"),"Nije aktivno",IF(W149="","Nije određen",IF(OR(NOT(ISNUMBER(W149)),W149&lt;36526,W149&gt;73050),"Proveriti datum",IF(W149&lt;Pregled!$B$7,"Kasni",IF(W149&lt;=Pregled!$B$7+Pregled!$F$7,"Uskoro","U roku"))))))</f>
        <v/>
      </c>
      <c r="AF149" s="46" t="str">
        <f>IF(COUNTA(A149:AD149)=0,"",IF(A149="","Nedostaje ID",IF(COUNTIFS($A$8:$A$207,A149)&gt;1,"Duplikat ID",IF(OR(B149="",E149="",G149="",COUNTIF(Liste!$B$7:$B$13,H149)=0),"Dopuniti osnovno","Popunjeno"))))</f>
        <v/>
      </c>
      <c r="AG149" s="46" t="str">
        <f>IF(COUNTA(A149:AD149)=0,"",IF(NOT(OR(H149="Pilot",H149="Uslovno odobreno",H149="Odobreno")),"Nije aktivna odluka",IF(OR(K149="",N149="",O149="",P149="",Q149="",R149="",S149="",T149="",U149="",V149="",W149="",X149=""),"Dopuniti evidenciju",IF(OR(NOT(ISNUMBER(V149)),NOT(ISNUMBER(W149))),"Proveriti datume",IF(OR(V149&lt;36526,V149&gt;73050,W149&lt;36526,W149&gt;73050,V149&gt;Pregled!$B$7,W149&lt;V149),"Proveriti datume","Evidentirano")))))</f>
        <v/>
      </c>
      <c r="AH149" s="47" t="str">
        <f>IF(AND(Z149="Da",AA149&lt;&gt;"",AB149&lt;&gt;"",AC149&lt;&gt;"",ISNUMBER(AD149),AD149&gt;=36526,AD149&lt;=73050,AD149&lt;=Pregled!$B$7,AF149="Popunjeno",AG149="Evidentirano",OR(H149="Pilot",H149="Uslovno odobreno",H149="Odobreno")),COUNT($AH$7:AH148)+1,"")</f>
        <v/>
      </c>
    </row>
    <row r="150" ht="54.0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9"/>
      <c r="W150" s="39"/>
      <c r="X150" s="37"/>
      <c r="Y150" s="37"/>
      <c r="Z150" s="37"/>
      <c r="AA150" s="37"/>
      <c r="AB150" s="37"/>
      <c r="AC150" s="37"/>
      <c r="AD150" s="39"/>
      <c r="AE150" s="46" t="str">
        <f>IF(COUNTA(A150:AD150)=0,"",IF(OR(H150="Povučeno",H150="Odbijeno",H150="Obustavljeno"),"Nije aktivno",IF(W150="","Nije određen",IF(OR(NOT(ISNUMBER(W150)),W150&lt;36526,W150&gt;73050),"Proveriti datum",IF(W150&lt;Pregled!$B$7,"Kasni",IF(W150&lt;=Pregled!$B$7+Pregled!$F$7,"Uskoro","U roku"))))))</f>
        <v/>
      </c>
      <c r="AF150" s="46" t="str">
        <f>IF(COUNTA(A150:AD150)=0,"",IF(A150="","Nedostaje ID",IF(COUNTIFS($A$8:$A$207,A150)&gt;1,"Duplikat ID",IF(OR(B150="",E150="",G150="",COUNTIF(Liste!$B$7:$B$13,H150)=0),"Dopuniti osnovno","Popunjeno"))))</f>
        <v/>
      </c>
      <c r="AG150" s="46" t="str">
        <f>IF(COUNTA(A150:AD150)=0,"",IF(NOT(OR(H150="Pilot",H150="Uslovno odobreno",H150="Odobreno")),"Nije aktivna odluka",IF(OR(K150="",N150="",O150="",P150="",Q150="",R150="",S150="",T150="",U150="",V150="",W150="",X150=""),"Dopuniti evidenciju",IF(OR(NOT(ISNUMBER(V150)),NOT(ISNUMBER(W150))),"Proveriti datume",IF(OR(V150&lt;36526,V150&gt;73050,W150&lt;36526,W150&gt;73050,V150&gt;Pregled!$B$7,W150&lt;V150),"Proveriti datume","Evidentirano")))))</f>
        <v/>
      </c>
      <c r="AH150" s="47" t="str">
        <f>IF(AND(Z150="Da",AA150&lt;&gt;"",AB150&lt;&gt;"",AC150&lt;&gt;"",ISNUMBER(AD150),AD150&gt;=36526,AD150&lt;=73050,AD150&lt;=Pregled!$B$7,AF150="Popunjeno",AG150="Evidentirano",OR(H150="Pilot",H150="Uslovno odobreno",H150="Odobreno")),COUNT($AH$7:AH149)+1,"")</f>
        <v/>
      </c>
    </row>
    <row r="151" ht="54.0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9"/>
      <c r="W151" s="39"/>
      <c r="X151" s="37"/>
      <c r="Y151" s="37"/>
      <c r="Z151" s="37"/>
      <c r="AA151" s="37"/>
      <c r="AB151" s="37"/>
      <c r="AC151" s="37"/>
      <c r="AD151" s="39"/>
      <c r="AE151" s="46" t="str">
        <f>IF(COUNTA(A151:AD151)=0,"",IF(OR(H151="Povučeno",H151="Odbijeno",H151="Obustavljeno"),"Nije aktivno",IF(W151="","Nije određen",IF(OR(NOT(ISNUMBER(W151)),W151&lt;36526,W151&gt;73050),"Proveriti datum",IF(W151&lt;Pregled!$B$7,"Kasni",IF(W151&lt;=Pregled!$B$7+Pregled!$F$7,"Uskoro","U roku"))))))</f>
        <v/>
      </c>
      <c r="AF151" s="46" t="str">
        <f>IF(COUNTA(A151:AD151)=0,"",IF(A151="","Nedostaje ID",IF(COUNTIFS($A$8:$A$207,A151)&gt;1,"Duplikat ID",IF(OR(B151="",E151="",G151="",COUNTIF(Liste!$B$7:$B$13,H151)=0),"Dopuniti osnovno","Popunjeno"))))</f>
        <v/>
      </c>
      <c r="AG151" s="46" t="str">
        <f>IF(COUNTA(A151:AD151)=0,"",IF(NOT(OR(H151="Pilot",H151="Uslovno odobreno",H151="Odobreno")),"Nije aktivna odluka",IF(OR(K151="",N151="",O151="",P151="",Q151="",R151="",S151="",T151="",U151="",V151="",W151="",X151=""),"Dopuniti evidenciju",IF(OR(NOT(ISNUMBER(V151)),NOT(ISNUMBER(W151))),"Proveriti datume",IF(OR(V151&lt;36526,V151&gt;73050,W151&lt;36526,W151&gt;73050,V151&gt;Pregled!$B$7,W151&lt;V151),"Proveriti datume","Evidentirano")))))</f>
        <v/>
      </c>
      <c r="AH151" s="47" t="str">
        <f>IF(AND(Z151="Da",AA151&lt;&gt;"",AB151&lt;&gt;"",AC151&lt;&gt;"",ISNUMBER(AD151),AD151&gt;=36526,AD151&lt;=73050,AD151&lt;=Pregled!$B$7,AF151="Popunjeno",AG151="Evidentirano",OR(H151="Pilot",H151="Uslovno odobreno",H151="Odobreno")),COUNT($AH$7:AH150)+1,"")</f>
        <v/>
      </c>
    </row>
    <row r="152" ht="54.0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9"/>
      <c r="W152" s="39"/>
      <c r="X152" s="37"/>
      <c r="Y152" s="37"/>
      <c r="Z152" s="37"/>
      <c r="AA152" s="37"/>
      <c r="AB152" s="37"/>
      <c r="AC152" s="37"/>
      <c r="AD152" s="39"/>
      <c r="AE152" s="46" t="str">
        <f>IF(COUNTA(A152:AD152)=0,"",IF(OR(H152="Povučeno",H152="Odbijeno",H152="Obustavljeno"),"Nije aktivno",IF(W152="","Nije određen",IF(OR(NOT(ISNUMBER(W152)),W152&lt;36526,W152&gt;73050),"Proveriti datum",IF(W152&lt;Pregled!$B$7,"Kasni",IF(W152&lt;=Pregled!$B$7+Pregled!$F$7,"Uskoro","U roku"))))))</f>
        <v/>
      </c>
      <c r="AF152" s="46" t="str">
        <f>IF(COUNTA(A152:AD152)=0,"",IF(A152="","Nedostaje ID",IF(COUNTIFS($A$8:$A$207,A152)&gt;1,"Duplikat ID",IF(OR(B152="",E152="",G152="",COUNTIF(Liste!$B$7:$B$13,H152)=0),"Dopuniti osnovno","Popunjeno"))))</f>
        <v/>
      </c>
      <c r="AG152" s="46" t="str">
        <f>IF(COUNTA(A152:AD152)=0,"",IF(NOT(OR(H152="Pilot",H152="Uslovno odobreno",H152="Odobreno")),"Nije aktivna odluka",IF(OR(K152="",N152="",O152="",P152="",Q152="",R152="",S152="",T152="",U152="",V152="",W152="",X152=""),"Dopuniti evidenciju",IF(OR(NOT(ISNUMBER(V152)),NOT(ISNUMBER(W152))),"Proveriti datume",IF(OR(V152&lt;36526,V152&gt;73050,W152&lt;36526,W152&gt;73050,V152&gt;Pregled!$B$7,W152&lt;V152),"Proveriti datume","Evidentirano")))))</f>
        <v/>
      </c>
      <c r="AH152" s="47" t="str">
        <f>IF(AND(Z152="Da",AA152&lt;&gt;"",AB152&lt;&gt;"",AC152&lt;&gt;"",ISNUMBER(AD152),AD152&gt;=36526,AD152&lt;=73050,AD152&lt;=Pregled!$B$7,AF152="Popunjeno",AG152="Evidentirano",OR(H152="Pilot",H152="Uslovno odobreno",H152="Odobreno")),COUNT($AH$7:AH151)+1,"")</f>
        <v/>
      </c>
    </row>
    <row r="153" ht="54.0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9"/>
      <c r="W153" s="39"/>
      <c r="X153" s="37"/>
      <c r="Y153" s="37"/>
      <c r="Z153" s="37"/>
      <c r="AA153" s="37"/>
      <c r="AB153" s="37"/>
      <c r="AC153" s="37"/>
      <c r="AD153" s="39"/>
      <c r="AE153" s="46" t="str">
        <f>IF(COUNTA(A153:AD153)=0,"",IF(OR(H153="Povučeno",H153="Odbijeno",H153="Obustavljeno"),"Nije aktivno",IF(W153="","Nije određen",IF(OR(NOT(ISNUMBER(W153)),W153&lt;36526,W153&gt;73050),"Proveriti datum",IF(W153&lt;Pregled!$B$7,"Kasni",IF(W153&lt;=Pregled!$B$7+Pregled!$F$7,"Uskoro","U roku"))))))</f>
        <v/>
      </c>
      <c r="AF153" s="46" t="str">
        <f>IF(COUNTA(A153:AD153)=0,"",IF(A153="","Nedostaje ID",IF(COUNTIFS($A$8:$A$207,A153)&gt;1,"Duplikat ID",IF(OR(B153="",E153="",G153="",COUNTIF(Liste!$B$7:$B$13,H153)=0),"Dopuniti osnovno","Popunjeno"))))</f>
        <v/>
      </c>
      <c r="AG153" s="46" t="str">
        <f>IF(COUNTA(A153:AD153)=0,"",IF(NOT(OR(H153="Pilot",H153="Uslovno odobreno",H153="Odobreno")),"Nije aktivna odluka",IF(OR(K153="",N153="",O153="",P153="",Q153="",R153="",S153="",T153="",U153="",V153="",W153="",X153=""),"Dopuniti evidenciju",IF(OR(NOT(ISNUMBER(V153)),NOT(ISNUMBER(W153))),"Proveriti datume",IF(OR(V153&lt;36526,V153&gt;73050,W153&lt;36526,W153&gt;73050,V153&gt;Pregled!$B$7,W153&lt;V153),"Proveriti datume","Evidentirano")))))</f>
        <v/>
      </c>
      <c r="AH153" s="47" t="str">
        <f>IF(AND(Z153="Da",AA153&lt;&gt;"",AB153&lt;&gt;"",AC153&lt;&gt;"",ISNUMBER(AD153),AD153&gt;=36526,AD153&lt;=73050,AD153&lt;=Pregled!$B$7,AF153="Popunjeno",AG153="Evidentirano",OR(H153="Pilot",H153="Uslovno odobreno",H153="Odobreno")),COUNT($AH$7:AH152)+1,"")</f>
        <v/>
      </c>
    </row>
    <row r="154" ht="54.0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9"/>
      <c r="W154" s="39"/>
      <c r="X154" s="37"/>
      <c r="Y154" s="37"/>
      <c r="Z154" s="37"/>
      <c r="AA154" s="37"/>
      <c r="AB154" s="37"/>
      <c r="AC154" s="37"/>
      <c r="AD154" s="39"/>
      <c r="AE154" s="46" t="str">
        <f>IF(COUNTA(A154:AD154)=0,"",IF(OR(H154="Povučeno",H154="Odbijeno",H154="Obustavljeno"),"Nije aktivno",IF(W154="","Nije određen",IF(OR(NOT(ISNUMBER(W154)),W154&lt;36526,W154&gt;73050),"Proveriti datum",IF(W154&lt;Pregled!$B$7,"Kasni",IF(W154&lt;=Pregled!$B$7+Pregled!$F$7,"Uskoro","U roku"))))))</f>
        <v/>
      </c>
      <c r="AF154" s="46" t="str">
        <f>IF(COUNTA(A154:AD154)=0,"",IF(A154="","Nedostaje ID",IF(COUNTIFS($A$8:$A$207,A154)&gt;1,"Duplikat ID",IF(OR(B154="",E154="",G154="",COUNTIF(Liste!$B$7:$B$13,H154)=0),"Dopuniti osnovno","Popunjeno"))))</f>
        <v/>
      </c>
      <c r="AG154" s="46" t="str">
        <f>IF(COUNTA(A154:AD154)=0,"",IF(NOT(OR(H154="Pilot",H154="Uslovno odobreno",H154="Odobreno")),"Nije aktivna odluka",IF(OR(K154="",N154="",O154="",P154="",Q154="",R154="",S154="",T154="",U154="",V154="",W154="",X154=""),"Dopuniti evidenciju",IF(OR(NOT(ISNUMBER(V154)),NOT(ISNUMBER(W154))),"Proveriti datume",IF(OR(V154&lt;36526,V154&gt;73050,W154&lt;36526,W154&gt;73050,V154&gt;Pregled!$B$7,W154&lt;V154),"Proveriti datume","Evidentirano")))))</f>
        <v/>
      </c>
      <c r="AH154" s="47" t="str">
        <f>IF(AND(Z154="Da",AA154&lt;&gt;"",AB154&lt;&gt;"",AC154&lt;&gt;"",ISNUMBER(AD154),AD154&gt;=36526,AD154&lt;=73050,AD154&lt;=Pregled!$B$7,AF154="Popunjeno",AG154="Evidentirano",OR(H154="Pilot",H154="Uslovno odobreno",H154="Odobreno")),COUNT($AH$7:AH153)+1,"")</f>
        <v/>
      </c>
    </row>
    <row r="155" ht="54.0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9"/>
      <c r="W155" s="39"/>
      <c r="X155" s="37"/>
      <c r="Y155" s="37"/>
      <c r="Z155" s="37"/>
      <c r="AA155" s="37"/>
      <c r="AB155" s="37"/>
      <c r="AC155" s="37"/>
      <c r="AD155" s="39"/>
      <c r="AE155" s="46" t="str">
        <f>IF(COUNTA(A155:AD155)=0,"",IF(OR(H155="Povučeno",H155="Odbijeno",H155="Obustavljeno"),"Nije aktivno",IF(W155="","Nije određen",IF(OR(NOT(ISNUMBER(W155)),W155&lt;36526,W155&gt;73050),"Proveriti datum",IF(W155&lt;Pregled!$B$7,"Kasni",IF(W155&lt;=Pregled!$B$7+Pregled!$F$7,"Uskoro","U roku"))))))</f>
        <v/>
      </c>
      <c r="AF155" s="46" t="str">
        <f>IF(COUNTA(A155:AD155)=0,"",IF(A155="","Nedostaje ID",IF(COUNTIFS($A$8:$A$207,A155)&gt;1,"Duplikat ID",IF(OR(B155="",E155="",G155="",COUNTIF(Liste!$B$7:$B$13,H155)=0),"Dopuniti osnovno","Popunjeno"))))</f>
        <v/>
      </c>
      <c r="AG155" s="46" t="str">
        <f>IF(COUNTA(A155:AD155)=0,"",IF(NOT(OR(H155="Pilot",H155="Uslovno odobreno",H155="Odobreno")),"Nije aktivna odluka",IF(OR(K155="",N155="",O155="",P155="",Q155="",R155="",S155="",T155="",U155="",V155="",W155="",X155=""),"Dopuniti evidenciju",IF(OR(NOT(ISNUMBER(V155)),NOT(ISNUMBER(W155))),"Proveriti datume",IF(OR(V155&lt;36526,V155&gt;73050,W155&lt;36526,W155&gt;73050,V155&gt;Pregled!$B$7,W155&lt;V155),"Proveriti datume","Evidentirano")))))</f>
        <v/>
      </c>
      <c r="AH155" s="47" t="str">
        <f>IF(AND(Z155="Da",AA155&lt;&gt;"",AB155&lt;&gt;"",AC155&lt;&gt;"",ISNUMBER(AD155),AD155&gt;=36526,AD155&lt;=73050,AD155&lt;=Pregled!$B$7,AF155="Popunjeno",AG155="Evidentirano",OR(H155="Pilot",H155="Uslovno odobreno",H155="Odobreno")),COUNT($AH$7:AH154)+1,"")</f>
        <v/>
      </c>
    </row>
    <row r="156" ht="54.0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9"/>
      <c r="W156" s="39"/>
      <c r="X156" s="37"/>
      <c r="Y156" s="37"/>
      <c r="Z156" s="37"/>
      <c r="AA156" s="37"/>
      <c r="AB156" s="37"/>
      <c r="AC156" s="37"/>
      <c r="AD156" s="39"/>
      <c r="AE156" s="46" t="str">
        <f>IF(COUNTA(A156:AD156)=0,"",IF(OR(H156="Povučeno",H156="Odbijeno",H156="Obustavljeno"),"Nije aktivno",IF(W156="","Nije određen",IF(OR(NOT(ISNUMBER(W156)),W156&lt;36526,W156&gt;73050),"Proveriti datum",IF(W156&lt;Pregled!$B$7,"Kasni",IF(W156&lt;=Pregled!$B$7+Pregled!$F$7,"Uskoro","U roku"))))))</f>
        <v/>
      </c>
      <c r="AF156" s="46" t="str">
        <f>IF(COUNTA(A156:AD156)=0,"",IF(A156="","Nedostaje ID",IF(COUNTIFS($A$8:$A$207,A156)&gt;1,"Duplikat ID",IF(OR(B156="",E156="",G156="",COUNTIF(Liste!$B$7:$B$13,H156)=0),"Dopuniti osnovno","Popunjeno"))))</f>
        <v/>
      </c>
      <c r="AG156" s="46" t="str">
        <f>IF(COUNTA(A156:AD156)=0,"",IF(NOT(OR(H156="Pilot",H156="Uslovno odobreno",H156="Odobreno")),"Nije aktivna odluka",IF(OR(K156="",N156="",O156="",P156="",Q156="",R156="",S156="",T156="",U156="",V156="",W156="",X156=""),"Dopuniti evidenciju",IF(OR(NOT(ISNUMBER(V156)),NOT(ISNUMBER(W156))),"Proveriti datume",IF(OR(V156&lt;36526,V156&gt;73050,W156&lt;36526,W156&gt;73050,V156&gt;Pregled!$B$7,W156&lt;V156),"Proveriti datume","Evidentirano")))))</f>
        <v/>
      </c>
      <c r="AH156" s="47" t="str">
        <f>IF(AND(Z156="Da",AA156&lt;&gt;"",AB156&lt;&gt;"",AC156&lt;&gt;"",ISNUMBER(AD156),AD156&gt;=36526,AD156&lt;=73050,AD156&lt;=Pregled!$B$7,AF156="Popunjeno",AG156="Evidentirano",OR(H156="Pilot",H156="Uslovno odobreno",H156="Odobreno")),COUNT($AH$7:AH155)+1,"")</f>
        <v/>
      </c>
    </row>
    <row r="157" ht="54.0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9"/>
      <c r="W157" s="39"/>
      <c r="X157" s="37"/>
      <c r="Y157" s="37"/>
      <c r="Z157" s="37"/>
      <c r="AA157" s="37"/>
      <c r="AB157" s="37"/>
      <c r="AC157" s="37"/>
      <c r="AD157" s="39"/>
      <c r="AE157" s="46" t="str">
        <f>IF(COUNTA(A157:AD157)=0,"",IF(OR(H157="Povučeno",H157="Odbijeno",H157="Obustavljeno"),"Nije aktivno",IF(W157="","Nije određen",IF(OR(NOT(ISNUMBER(W157)),W157&lt;36526,W157&gt;73050),"Proveriti datum",IF(W157&lt;Pregled!$B$7,"Kasni",IF(W157&lt;=Pregled!$B$7+Pregled!$F$7,"Uskoro","U roku"))))))</f>
        <v/>
      </c>
      <c r="AF157" s="46" t="str">
        <f>IF(COUNTA(A157:AD157)=0,"",IF(A157="","Nedostaje ID",IF(COUNTIFS($A$8:$A$207,A157)&gt;1,"Duplikat ID",IF(OR(B157="",E157="",G157="",COUNTIF(Liste!$B$7:$B$13,H157)=0),"Dopuniti osnovno","Popunjeno"))))</f>
        <v/>
      </c>
      <c r="AG157" s="46" t="str">
        <f>IF(COUNTA(A157:AD157)=0,"",IF(NOT(OR(H157="Pilot",H157="Uslovno odobreno",H157="Odobreno")),"Nije aktivna odluka",IF(OR(K157="",N157="",O157="",P157="",Q157="",R157="",S157="",T157="",U157="",V157="",W157="",X157=""),"Dopuniti evidenciju",IF(OR(NOT(ISNUMBER(V157)),NOT(ISNUMBER(W157))),"Proveriti datume",IF(OR(V157&lt;36526,V157&gt;73050,W157&lt;36526,W157&gt;73050,V157&gt;Pregled!$B$7,W157&lt;V157),"Proveriti datume","Evidentirano")))))</f>
        <v/>
      </c>
      <c r="AH157" s="47" t="str">
        <f>IF(AND(Z157="Da",AA157&lt;&gt;"",AB157&lt;&gt;"",AC157&lt;&gt;"",ISNUMBER(AD157),AD157&gt;=36526,AD157&lt;=73050,AD157&lt;=Pregled!$B$7,AF157="Popunjeno",AG157="Evidentirano",OR(H157="Pilot",H157="Uslovno odobreno",H157="Odobreno")),COUNT($AH$7:AH156)+1,"")</f>
        <v/>
      </c>
    </row>
    <row r="158" ht="54.0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9"/>
      <c r="W158" s="39"/>
      <c r="X158" s="37"/>
      <c r="Y158" s="37"/>
      <c r="Z158" s="37"/>
      <c r="AA158" s="37"/>
      <c r="AB158" s="37"/>
      <c r="AC158" s="37"/>
      <c r="AD158" s="39"/>
      <c r="AE158" s="46" t="str">
        <f>IF(COUNTA(A158:AD158)=0,"",IF(OR(H158="Povučeno",H158="Odbijeno",H158="Obustavljeno"),"Nije aktivno",IF(W158="","Nije određen",IF(OR(NOT(ISNUMBER(W158)),W158&lt;36526,W158&gt;73050),"Proveriti datum",IF(W158&lt;Pregled!$B$7,"Kasni",IF(W158&lt;=Pregled!$B$7+Pregled!$F$7,"Uskoro","U roku"))))))</f>
        <v/>
      </c>
      <c r="AF158" s="46" t="str">
        <f>IF(COUNTA(A158:AD158)=0,"",IF(A158="","Nedostaje ID",IF(COUNTIFS($A$8:$A$207,A158)&gt;1,"Duplikat ID",IF(OR(B158="",E158="",G158="",COUNTIF(Liste!$B$7:$B$13,H158)=0),"Dopuniti osnovno","Popunjeno"))))</f>
        <v/>
      </c>
      <c r="AG158" s="46" t="str">
        <f>IF(COUNTA(A158:AD158)=0,"",IF(NOT(OR(H158="Pilot",H158="Uslovno odobreno",H158="Odobreno")),"Nije aktivna odluka",IF(OR(K158="",N158="",O158="",P158="",Q158="",R158="",S158="",T158="",U158="",V158="",W158="",X158=""),"Dopuniti evidenciju",IF(OR(NOT(ISNUMBER(V158)),NOT(ISNUMBER(W158))),"Proveriti datume",IF(OR(V158&lt;36526,V158&gt;73050,W158&lt;36526,W158&gt;73050,V158&gt;Pregled!$B$7,W158&lt;V158),"Proveriti datume","Evidentirano")))))</f>
        <v/>
      </c>
      <c r="AH158" s="47" t="str">
        <f>IF(AND(Z158="Da",AA158&lt;&gt;"",AB158&lt;&gt;"",AC158&lt;&gt;"",ISNUMBER(AD158),AD158&gt;=36526,AD158&lt;=73050,AD158&lt;=Pregled!$B$7,AF158="Popunjeno",AG158="Evidentirano",OR(H158="Pilot",H158="Uslovno odobreno",H158="Odobreno")),COUNT($AH$7:AH157)+1,"")</f>
        <v/>
      </c>
    </row>
    <row r="159" ht="54.0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9"/>
      <c r="W159" s="39"/>
      <c r="X159" s="37"/>
      <c r="Y159" s="37"/>
      <c r="Z159" s="37"/>
      <c r="AA159" s="37"/>
      <c r="AB159" s="37"/>
      <c r="AC159" s="37"/>
      <c r="AD159" s="39"/>
      <c r="AE159" s="46" t="str">
        <f>IF(COUNTA(A159:AD159)=0,"",IF(OR(H159="Povučeno",H159="Odbijeno",H159="Obustavljeno"),"Nije aktivno",IF(W159="","Nije određen",IF(OR(NOT(ISNUMBER(W159)),W159&lt;36526,W159&gt;73050),"Proveriti datum",IF(W159&lt;Pregled!$B$7,"Kasni",IF(W159&lt;=Pregled!$B$7+Pregled!$F$7,"Uskoro","U roku"))))))</f>
        <v/>
      </c>
      <c r="AF159" s="46" t="str">
        <f>IF(COUNTA(A159:AD159)=0,"",IF(A159="","Nedostaje ID",IF(COUNTIFS($A$8:$A$207,A159)&gt;1,"Duplikat ID",IF(OR(B159="",E159="",G159="",COUNTIF(Liste!$B$7:$B$13,H159)=0),"Dopuniti osnovno","Popunjeno"))))</f>
        <v/>
      </c>
      <c r="AG159" s="46" t="str">
        <f>IF(COUNTA(A159:AD159)=0,"",IF(NOT(OR(H159="Pilot",H159="Uslovno odobreno",H159="Odobreno")),"Nije aktivna odluka",IF(OR(K159="",N159="",O159="",P159="",Q159="",R159="",S159="",T159="",U159="",V159="",W159="",X159=""),"Dopuniti evidenciju",IF(OR(NOT(ISNUMBER(V159)),NOT(ISNUMBER(W159))),"Proveriti datume",IF(OR(V159&lt;36526,V159&gt;73050,W159&lt;36526,W159&gt;73050,V159&gt;Pregled!$B$7,W159&lt;V159),"Proveriti datume","Evidentirano")))))</f>
        <v/>
      </c>
      <c r="AH159" s="47" t="str">
        <f>IF(AND(Z159="Da",AA159&lt;&gt;"",AB159&lt;&gt;"",AC159&lt;&gt;"",ISNUMBER(AD159),AD159&gt;=36526,AD159&lt;=73050,AD159&lt;=Pregled!$B$7,AF159="Popunjeno",AG159="Evidentirano",OR(H159="Pilot",H159="Uslovno odobreno",H159="Odobreno")),COUNT($AH$7:AH158)+1,"")</f>
        <v/>
      </c>
    </row>
    <row r="160" ht="54.0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9"/>
      <c r="W160" s="39"/>
      <c r="X160" s="37"/>
      <c r="Y160" s="37"/>
      <c r="Z160" s="37"/>
      <c r="AA160" s="37"/>
      <c r="AB160" s="37"/>
      <c r="AC160" s="37"/>
      <c r="AD160" s="39"/>
      <c r="AE160" s="46" t="str">
        <f>IF(COUNTA(A160:AD160)=0,"",IF(OR(H160="Povučeno",H160="Odbijeno",H160="Obustavljeno"),"Nije aktivno",IF(W160="","Nije određen",IF(OR(NOT(ISNUMBER(W160)),W160&lt;36526,W160&gt;73050),"Proveriti datum",IF(W160&lt;Pregled!$B$7,"Kasni",IF(W160&lt;=Pregled!$B$7+Pregled!$F$7,"Uskoro","U roku"))))))</f>
        <v/>
      </c>
      <c r="AF160" s="46" t="str">
        <f>IF(COUNTA(A160:AD160)=0,"",IF(A160="","Nedostaje ID",IF(COUNTIFS($A$8:$A$207,A160)&gt;1,"Duplikat ID",IF(OR(B160="",E160="",G160="",COUNTIF(Liste!$B$7:$B$13,H160)=0),"Dopuniti osnovno","Popunjeno"))))</f>
        <v/>
      </c>
      <c r="AG160" s="46" t="str">
        <f>IF(COUNTA(A160:AD160)=0,"",IF(NOT(OR(H160="Pilot",H160="Uslovno odobreno",H160="Odobreno")),"Nije aktivna odluka",IF(OR(K160="",N160="",O160="",P160="",Q160="",R160="",S160="",T160="",U160="",V160="",W160="",X160=""),"Dopuniti evidenciju",IF(OR(NOT(ISNUMBER(V160)),NOT(ISNUMBER(W160))),"Proveriti datume",IF(OR(V160&lt;36526,V160&gt;73050,W160&lt;36526,W160&gt;73050,V160&gt;Pregled!$B$7,W160&lt;V160),"Proveriti datume","Evidentirano")))))</f>
        <v/>
      </c>
      <c r="AH160" s="47" t="str">
        <f>IF(AND(Z160="Da",AA160&lt;&gt;"",AB160&lt;&gt;"",AC160&lt;&gt;"",ISNUMBER(AD160),AD160&gt;=36526,AD160&lt;=73050,AD160&lt;=Pregled!$B$7,AF160="Popunjeno",AG160="Evidentirano",OR(H160="Pilot",H160="Uslovno odobreno",H160="Odobreno")),COUNT($AH$7:AH159)+1,"")</f>
        <v/>
      </c>
    </row>
    <row r="161" ht="54.0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9"/>
      <c r="W161" s="39"/>
      <c r="X161" s="37"/>
      <c r="Y161" s="37"/>
      <c r="Z161" s="37"/>
      <c r="AA161" s="37"/>
      <c r="AB161" s="37"/>
      <c r="AC161" s="37"/>
      <c r="AD161" s="39"/>
      <c r="AE161" s="46" t="str">
        <f>IF(COUNTA(A161:AD161)=0,"",IF(OR(H161="Povučeno",H161="Odbijeno",H161="Obustavljeno"),"Nije aktivno",IF(W161="","Nije određen",IF(OR(NOT(ISNUMBER(W161)),W161&lt;36526,W161&gt;73050),"Proveriti datum",IF(W161&lt;Pregled!$B$7,"Kasni",IF(W161&lt;=Pregled!$B$7+Pregled!$F$7,"Uskoro","U roku"))))))</f>
        <v/>
      </c>
      <c r="AF161" s="46" t="str">
        <f>IF(COUNTA(A161:AD161)=0,"",IF(A161="","Nedostaje ID",IF(COUNTIFS($A$8:$A$207,A161)&gt;1,"Duplikat ID",IF(OR(B161="",E161="",G161="",COUNTIF(Liste!$B$7:$B$13,H161)=0),"Dopuniti osnovno","Popunjeno"))))</f>
        <v/>
      </c>
      <c r="AG161" s="46" t="str">
        <f>IF(COUNTA(A161:AD161)=0,"",IF(NOT(OR(H161="Pilot",H161="Uslovno odobreno",H161="Odobreno")),"Nije aktivna odluka",IF(OR(K161="",N161="",O161="",P161="",Q161="",R161="",S161="",T161="",U161="",V161="",W161="",X161=""),"Dopuniti evidenciju",IF(OR(NOT(ISNUMBER(V161)),NOT(ISNUMBER(W161))),"Proveriti datume",IF(OR(V161&lt;36526,V161&gt;73050,W161&lt;36526,W161&gt;73050,V161&gt;Pregled!$B$7,W161&lt;V161),"Proveriti datume","Evidentirano")))))</f>
        <v/>
      </c>
      <c r="AH161" s="47" t="str">
        <f>IF(AND(Z161="Da",AA161&lt;&gt;"",AB161&lt;&gt;"",AC161&lt;&gt;"",ISNUMBER(AD161),AD161&gt;=36526,AD161&lt;=73050,AD161&lt;=Pregled!$B$7,AF161="Popunjeno",AG161="Evidentirano",OR(H161="Pilot",H161="Uslovno odobreno",H161="Odobreno")),COUNT($AH$7:AH160)+1,"")</f>
        <v/>
      </c>
    </row>
    <row r="162" ht="54.0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9"/>
      <c r="W162" s="39"/>
      <c r="X162" s="37"/>
      <c r="Y162" s="37"/>
      <c r="Z162" s="37"/>
      <c r="AA162" s="37"/>
      <c r="AB162" s="37"/>
      <c r="AC162" s="37"/>
      <c r="AD162" s="39"/>
      <c r="AE162" s="46" t="str">
        <f>IF(COUNTA(A162:AD162)=0,"",IF(OR(H162="Povučeno",H162="Odbijeno",H162="Obustavljeno"),"Nije aktivno",IF(W162="","Nije određen",IF(OR(NOT(ISNUMBER(W162)),W162&lt;36526,W162&gt;73050),"Proveriti datum",IF(W162&lt;Pregled!$B$7,"Kasni",IF(W162&lt;=Pregled!$B$7+Pregled!$F$7,"Uskoro","U roku"))))))</f>
        <v/>
      </c>
      <c r="AF162" s="46" t="str">
        <f>IF(COUNTA(A162:AD162)=0,"",IF(A162="","Nedostaje ID",IF(COUNTIFS($A$8:$A$207,A162)&gt;1,"Duplikat ID",IF(OR(B162="",E162="",G162="",COUNTIF(Liste!$B$7:$B$13,H162)=0),"Dopuniti osnovno","Popunjeno"))))</f>
        <v/>
      </c>
      <c r="AG162" s="46" t="str">
        <f>IF(COUNTA(A162:AD162)=0,"",IF(NOT(OR(H162="Pilot",H162="Uslovno odobreno",H162="Odobreno")),"Nije aktivna odluka",IF(OR(K162="",N162="",O162="",P162="",Q162="",R162="",S162="",T162="",U162="",V162="",W162="",X162=""),"Dopuniti evidenciju",IF(OR(NOT(ISNUMBER(V162)),NOT(ISNUMBER(W162))),"Proveriti datume",IF(OR(V162&lt;36526,V162&gt;73050,W162&lt;36526,W162&gt;73050,V162&gt;Pregled!$B$7,W162&lt;V162),"Proveriti datume","Evidentirano")))))</f>
        <v/>
      </c>
      <c r="AH162" s="47" t="str">
        <f>IF(AND(Z162="Da",AA162&lt;&gt;"",AB162&lt;&gt;"",AC162&lt;&gt;"",ISNUMBER(AD162),AD162&gt;=36526,AD162&lt;=73050,AD162&lt;=Pregled!$B$7,AF162="Popunjeno",AG162="Evidentirano",OR(H162="Pilot",H162="Uslovno odobreno",H162="Odobreno")),COUNT($AH$7:AH161)+1,"")</f>
        <v/>
      </c>
    </row>
    <row r="163" ht="54.0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9"/>
      <c r="W163" s="39"/>
      <c r="X163" s="37"/>
      <c r="Y163" s="37"/>
      <c r="Z163" s="37"/>
      <c r="AA163" s="37"/>
      <c r="AB163" s="37"/>
      <c r="AC163" s="37"/>
      <c r="AD163" s="39"/>
      <c r="AE163" s="46" t="str">
        <f>IF(COUNTA(A163:AD163)=0,"",IF(OR(H163="Povučeno",H163="Odbijeno",H163="Obustavljeno"),"Nije aktivno",IF(W163="","Nije određen",IF(OR(NOT(ISNUMBER(W163)),W163&lt;36526,W163&gt;73050),"Proveriti datum",IF(W163&lt;Pregled!$B$7,"Kasni",IF(W163&lt;=Pregled!$B$7+Pregled!$F$7,"Uskoro","U roku"))))))</f>
        <v/>
      </c>
      <c r="AF163" s="46" t="str">
        <f>IF(COUNTA(A163:AD163)=0,"",IF(A163="","Nedostaje ID",IF(COUNTIFS($A$8:$A$207,A163)&gt;1,"Duplikat ID",IF(OR(B163="",E163="",G163="",COUNTIF(Liste!$B$7:$B$13,H163)=0),"Dopuniti osnovno","Popunjeno"))))</f>
        <v/>
      </c>
      <c r="AG163" s="46" t="str">
        <f>IF(COUNTA(A163:AD163)=0,"",IF(NOT(OR(H163="Pilot",H163="Uslovno odobreno",H163="Odobreno")),"Nije aktivna odluka",IF(OR(K163="",N163="",O163="",P163="",Q163="",R163="",S163="",T163="",U163="",V163="",W163="",X163=""),"Dopuniti evidenciju",IF(OR(NOT(ISNUMBER(V163)),NOT(ISNUMBER(W163))),"Proveriti datume",IF(OR(V163&lt;36526,V163&gt;73050,W163&lt;36526,W163&gt;73050,V163&gt;Pregled!$B$7,W163&lt;V163),"Proveriti datume","Evidentirano")))))</f>
        <v/>
      </c>
      <c r="AH163" s="47" t="str">
        <f>IF(AND(Z163="Da",AA163&lt;&gt;"",AB163&lt;&gt;"",AC163&lt;&gt;"",ISNUMBER(AD163),AD163&gt;=36526,AD163&lt;=73050,AD163&lt;=Pregled!$B$7,AF163="Popunjeno",AG163="Evidentirano",OR(H163="Pilot",H163="Uslovno odobreno",H163="Odobreno")),COUNT($AH$7:AH162)+1,"")</f>
        <v/>
      </c>
    </row>
    <row r="164" ht="54.0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9"/>
      <c r="W164" s="39"/>
      <c r="X164" s="37"/>
      <c r="Y164" s="37"/>
      <c r="Z164" s="37"/>
      <c r="AA164" s="37"/>
      <c r="AB164" s="37"/>
      <c r="AC164" s="37"/>
      <c r="AD164" s="39"/>
      <c r="AE164" s="46" t="str">
        <f>IF(COUNTA(A164:AD164)=0,"",IF(OR(H164="Povučeno",H164="Odbijeno",H164="Obustavljeno"),"Nije aktivno",IF(W164="","Nije određen",IF(OR(NOT(ISNUMBER(W164)),W164&lt;36526,W164&gt;73050),"Proveriti datum",IF(W164&lt;Pregled!$B$7,"Kasni",IF(W164&lt;=Pregled!$B$7+Pregled!$F$7,"Uskoro","U roku"))))))</f>
        <v/>
      </c>
      <c r="AF164" s="46" t="str">
        <f>IF(COUNTA(A164:AD164)=0,"",IF(A164="","Nedostaje ID",IF(COUNTIFS($A$8:$A$207,A164)&gt;1,"Duplikat ID",IF(OR(B164="",E164="",G164="",COUNTIF(Liste!$B$7:$B$13,H164)=0),"Dopuniti osnovno","Popunjeno"))))</f>
        <v/>
      </c>
      <c r="AG164" s="46" t="str">
        <f>IF(COUNTA(A164:AD164)=0,"",IF(NOT(OR(H164="Pilot",H164="Uslovno odobreno",H164="Odobreno")),"Nije aktivna odluka",IF(OR(K164="",N164="",O164="",P164="",Q164="",R164="",S164="",T164="",U164="",V164="",W164="",X164=""),"Dopuniti evidenciju",IF(OR(NOT(ISNUMBER(V164)),NOT(ISNUMBER(W164))),"Proveriti datume",IF(OR(V164&lt;36526,V164&gt;73050,W164&lt;36526,W164&gt;73050,V164&gt;Pregled!$B$7,W164&lt;V164),"Proveriti datume","Evidentirano")))))</f>
        <v/>
      </c>
      <c r="AH164" s="47" t="str">
        <f>IF(AND(Z164="Da",AA164&lt;&gt;"",AB164&lt;&gt;"",AC164&lt;&gt;"",ISNUMBER(AD164),AD164&gt;=36526,AD164&lt;=73050,AD164&lt;=Pregled!$B$7,AF164="Popunjeno",AG164="Evidentirano",OR(H164="Pilot",H164="Uslovno odobreno",H164="Odobreno")),COUNT($AH$7:AH163)+1,"")</f>
        <v/>
      </c>
    </row>
    <row r="165" ht="54.0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9"/>
      <c r="W165" s="39"/>
      <c r="X165" s="37"/>
      <c r="Y165" s="37"/>
      <c r="Z165" s="37"/>
      <c r="AA165" s="37"/>
      <c r="AB165" s="37"/>
      <c r="AC165" s="37"/>
      <c r="AD165" s="39"/>
      <c r="AE165" s="46" t="str">
        <f>IF(COUNTA(A165:AD165)=0,"",IF(OR(H165="Povučeno",H165="Odbijeno",H165="Obustavljeno"),"Nije aktivno",IF(W165="","Nije određen",IF(OR(NOT(ISNUMBER(W165)),W165&lt;36526,W165&gt;73050),"Proveriti datum",IF(W165&lt;Pregled!$B$7,"Kasni",IF(W165&lt;=Pregled!$B$7+Pregled!$F$7,"Uskoro","U roku"))))))</f>
        <v/>
      </c>
      <c r="AF165" s="46" t="str">
        <f>IF(COUNTA(A165:AD165)=0,"",IF(A165="","Nedostaje ID",IF(COUNTIFS($A$8:$A$207,A165)&gt;1,"Duplikat ID",IF(OR(B165="",E165="",G165="",COUNTIF(Liste!$B$7:$B$13,H165)=0),"Dopuniti osnovno","Popunjeno"))))</f>
        <v/>
      </c>
      <c r="AG165" s="46" t="str">
        <f>IF(COUNTA(A165:AD165)=0,"",IF(NOT(OR(H165="Pilot",H165="Uslovno odobreno",H165="Odobreno")),"Nije aktivna odluka",IF(OR(K165="",N165="",O165="",P165="",Q165="",R165="",S165="",T165="",U165="",V165="",W165="",X165=""),"Dopuniti evidenciju",IF(OR(NOT(ISNUMBER(V165)),NOT(ISNUMBER(W165))),"Proveriti datume",IF(OR(V165&lt;36526,V165&gt;73050,W165&lt;36526,W165&gt;73050,V165&gt;Pregled!$B$7,W165&lt;V165),"Proveriti datume","Evidentirano")))))</f>
        <v/>
      </c>
      <c r="AH165" s="47" t="str">
        <f>IF(AND(Z165="Da",AA165&lt;&gt;"",AB165&lt;&gt;"",AC165&lt;&gt;"",ISNUMBER(AD165),AD165&gt;=36526,AD165&lt;=73050,AD165&lt;=Pregled!$B$7,AF165="Popunjeno",AG165="Evidentirano",OR(H165="Pilot",H165="Uslovno odobreno",H165="Odobreno")),COUNT($AH$7:AH164)+1,"")</f>
        <v/>
      </c>
    </row>
    <row r="166" ht="54.0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9"/>
      <c r="W166" s="39"/>
      <c r="X166" s="37"/>
      <c r="Y166" s="37"/>
      <c r="Z166" s="37"/>
      <c r="AA166" s="37"/>
      <c r="AB166" s="37"/>
      <c r="AC166" s="37"/>
      <c r="AD166" s="39"/>
      <c r="AE166" s="46" t="str">
        <f>IF(COUNTA(A166:AD166)=0,"",IF(OR(H166="Povučeno",H166="Odbijeno",H166="Obustavljeno"),"Nije aktivno",IF(W166="","Nije određen",IF(OR(NOT(ISNUMBER(W166)),W166&lt;36526,W166&gt;73050),"Proveriti datum",IF(W166&lt;Pregled!$B$7,"Kasni",IF(W166&lt;=Pregled!$B$7+Pregled!$F$7,"Uskoro","U roku"))))))</f>
        <v/>
      </c>
      <c r="AF166" s="46" t="str">
        <f>IF(COUNTA(A166:AD166)=0,"",IF(A166="","Nedostaje ID",IF(COUNTIFS($A$8:$A$207,A166)&gt;1,"Duplikat ID",IF(OR(B166="",E166="",G166="",COUNTIF(Liste!$B$7:$B$13,H166)=0),"Dopuniti osnovno","Popunjeno"))))</f>
        <v/>
      </c>
      <c r="AG166" s="46" t="str">
        <f>IF(COUNTA(A166:AD166)=0,"",IF(NOT(OR(H166="Pilot",H166="Uslovno odobreno",H166="Odobreno")),"Nije aktivna odluka",IF(OR(K166="",N166="",O166="",P166="",Q166="",R166="",S166="",T166="",U166="",V166="",W166="",X166=""),"Dopuniti evidenciju",IF(OR(NOT(ISNUMBER(V166)),NOT(ISNUMBER(W166))),"Proveriti datume",IF(OR(V166&lt;36526,V166&gt;73050,W166&lt;36526,W166&gt;73050,V166&gt;Pregled!$B$7,W166&lt;V166),"Proveriti datume","Evidentirano")))))</f>
        <v/>
      </c>
      <c r="AH166" s="47" t="str">
        <f>IF(AND(Z166="Da",AA166&lt;&gt;"",AB166&lt;&gt;"",AC166&lt;&gt;"",ISNUMBER(AD166),AD166&gt;=36526,AD166&lt;=73050,AD166&lt;=Pregled!$B$7,AF166="Popunjeno",AG166="Evidentirano",OR(H166="Pilot",H166="Uslovno odobreno",H166="Odobreno")),COUNT($AH$7:AH165)+1,"")</f>
        <v/>
      </c>
    </row>
    <row r="167" ht="54.0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9"/>
      <c r="W167" s="39"/>
      <c r="X167" s="37"/>
      <c r="Y167" s="37"/>
      <c r="Z167" s="37"/>
      <c r="AA167" s="37"/>
      <c r="AB167" s="37"/>
      <c r="AC167" s="37"/>
      <c r="AD167" s="39"/>
      <c r="AE167" s="46" t="str">
        <f>IF(COUNTA(A167:AD167)=0,"",IF(OR(H167="Povučeno",H167="Odbijeno",H167="Obustavljeno"),"Nije aktivno",IF(W167="","Nije određen",IF(OR(NOT(ISNUMBER(W167)),W167&lt;36526,W167&gt;73050),"Proveriti datum",IF(W167&lt;Pregled!$B$7,"Kasni",IF(W167&lt;=Pregled!$B$7+Pregled!$F$7,"Uskoro","U roku"))))))</f>
        <v/>
      </c>
      <c r="AF167" s="46" t="str">
        <f>IF(COUNTA(A167:AD167)=0,"",IF(A167="","Nedostaje ID",IF(COUNTIFS($A$8:$A$207,A167)&gt;1,"Duplikat ID",IF(OR(B167="",E167="",G167="",COUNTIF(Liste!$B$7:$B$13,H167)=0),"Dopuniti osnovno","Popunjeno"))))</f>
        <v/>
      </c>
      <c r="AG167" s="46" t="str">
        <f>IF(COUNTA(A167:AD167)=0,"",IF(NOT(OR(H167="Pilot",H167="Uslovno odobreno",H167="Odobreno")),"Nije aktivna odluka",IF(OR(K167="",N167="",O167="",P167="",Q167="",R167="",S167="",T167="",U167="",V167="",W167="",X167=""),"Dopuniti evidenciju",IF(OR(NOT(ISNUMBER(V167)),NOT(ISNUMBER(W167))),"Proveriti datume",IF(OR(V167&lt;36526,V167&gt;73050,W167&lt;36526,W167&gt;73050,V167&gt;Pregled!$B$7,W167&lt;V167),"Proveriti datume","Evidentirano")))))</f>
        <v/>
      </c>
      <c r="AH167" s="47" t="str">
        <f>IF(AND(Z167="Da",AA167&lt;&gt;"",AB167&lt;&gt;"",AC167&lt;&gt;"",ISNUMBER(AD167),AD167&gt;=36526,AD167&lt;=73050,AD167&lt;=Pregled!$B$7,AF167="Popunjeno",AG167="Evidentirano",OR(H167="Pilot",H167="Uslovno odobreno",H167="Odobreno")),COUNT($AH$7:AH166)+1,"")</f>
        <v/>
      </c>
    </row>
    <row r="168" ht="54.0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9"/>
      <c r="W168" s="39"/>
      <c r="X168" s="37"/>
      <c r="Y168" s="37"/>
      <c r="Z168" s="37"/>
      <c r="AA168" s="37"/>
      <c r="AB168" s="37"/>
      <c r="AC168" s="37"/>
      <c r="AD168" s="39"/>
      <c r="AE168" s="46" t="str">
        <f>IF(COUNTA(A168:AD168)=0,"",IF(OR(H168="Povučeno",H168="Odbijeno",H168="Obustavljeno"),"Nije aktivno",IF(W168="","Nije određen",IF(OR(NOT(ISNUMBER(W168)),W168&lt;36526,W168&gt;73050),"Proveriti datum",IF(W168&lt;Pregled!$B$7,"Kasni",IF(W168&lt;=Pregled!$B$7+Pregled!$F$7,"Uskoro","U roku"))))))</f>
        <v/>
      </c>
      <c r="AF168" s="46" t="str">
        <f>IF(COUNTA(A168:AD168)=0,"",IF(A168="","Nedostaje ID",IF(COUNTIFS($A$8:$A$207,A168)&gt;1,"Duplikat ID",IF(OR(B168="",E168="",G168="",COUNTIF(Liste!$B$7:$B$13,H168)=0),"Dopuniti osnovno","Popunjeno"))))</f>
        <v/>
      </c>
      <c r="AG168" s="46" t="str">
        <f>IF(COUNTA(A168:AD168)=0,"",IF(NOT(OR(H168="Pilot",H168="Uslovno odobreno",H168="Odobreno")),"Nije aktivna odluka",IF(OR(K168="",N168="",O168="",P168="",Q168="",R168="",S168="",T168="",U168="",V168="",W168="",X168=""),"Dopuniti evidenciju",IF(OR(NOT(ISNUMBER(V168)),NOT(ISNUMBER(W168))),"Proveriti datume",IF(OR(V168&lt;36526,V168&gt;73050,W168&lt;36526,W168&gt;73050,V168&gt;Pregled!$B$7,W168&lt;V168),"Proveriti datume","Evidentirano")))))</f>
        <v/>
      </c>
      <c r="AH168" s="47" t="str">
        <f>IF(AND(Z168="Da",AA168&lt;&gt;"",AB168&lt;&gt;"",AC168&lt;&gt;"",ISNUMBER(AD168),AD168&gt;=36526,AD168&lt;=73050,AD168&lt;=Pregled!$B$7,AF168="Popunjeno",AG168="Evidentirano",OR(H168="Pilot",H168="Uslovno odobreno",H168="Odobreno")),COUNT($AH$7:AH167)+1,"")</f>
        <v/>
      </c>
    </row>
    <row r="169" ht="54.0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9"/>
      <c r="W169" s="39"/>
      <c r="X169" s="37"/>
      <c r="Y169" s="37"/>
      <c r="Z169" s="37"/>
      <c r="AA169" s="37"/>
      <c r="AB169" s="37"/>
      <c r="AC169" s="37"/>
      <c r="AD169" s="39"/>
      <c r="AE169" s="46" t="str">
        <f>IF(COUNTA(A169:AD169)=0,"",IF(OR(H169="Povučeno",H169="Odbijeno",H169="Obustavljeno"),"Nije aktivno",IF(W169="","Nije određen",IF(OR(NOT(ISNUMBER(W169)),W169&lt;36526,W169&gt;73050),"Proveriti datum",IF(W169&lt;Pregled!$B$7,"Kasni",IF(W169&lt;=Pregled!$B$7+Pregled!$F$7,"Uskoro","U roku"))))))</f>
        <v/>
      </c>
      <c r="AF169" s="46" t="str">
        <f>IF(COUNTA(A169:AD169)=0,"",IF(A169="","Nedostaje ID",IF(COUNTIFS($A$8:$A$207,A169)&gt;1,"Duplikat ID",IF(OR(B169="",E169="",G169="",COUNTIF(Liste!$B$7:$B$13,H169)=0),"Dopuniti osnovno","Popunjeno"))))</f>
        <v/>
      </c>
      <c r="AG169" s="46" t="str">
        <f>IF(COUNTA(A169:AD169)=0,"",IF(NOT(OR(H169="Pilot",H169="Uslovno odobreno",H169="Odobreno")),"Nije aktivna odluka",IF(OR(K169="",N169="",O169="",P169="",Q169="",R169="",S169="",T169="",U169="",V169="",W169="",X169=""),"Dopuniti evidenciju",IF(OR(NOT(ISNUMBER(V169)),NOT(ISNUMBER(W169))),"Proveriti datume",IF(OR(V169&lt;36526,V169&gt;73050,W169&lt;36526,W169&gt;73050,V169&gt;Pregled!$B$7,W169&lt;V169),"Proveriti datume","Evidentirano")))))</f>
        <v/>
      </c>
      <c r="AH169" s="47" t="str">
        <f>IF(AND(Z169="Da",AA169&lt;&gt;"",AB169&lt;&gt;"",AC169&lt;&gt;"",ISNUMBER(AD169),AD169&gt;=36526,AD169&lt;=73050,AD169&lt;=Pregled!$B$7,AF169="Popunjeno",AG169="Evidentirano",OR(H169="Pilot",H169="Uslovno odobreno",H169="Odobreno")),COUNT($AH$7:AH168)+1,"")</f>
        <v/>
      </c>
    </row>
    <row r="170" ht="54.0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9"/>
      <c r="W170" s="39"/>
      <c r="X170" s="37"/>
      <c r="Y170" s="37"/>
      <c r="Z170" s="37"/>
      <c r="AA170" s="37"/>
      <c r="AB170" s="37"/>
      <c r="AC170" s="37"/>
      <c r="AD170" s="39"/>
      <c r="AE170" s="46" t="str">
        <f>IF(COUNTA(A170:AD170)=0,"",IF(OR(H170="Povučeno",H170="Odbijeno",H170="Obustavljeno"),"Nije aktivno",IF(W170="","Nije određen",IF(OR(NOT(ISNUMBER(W170)),W170&lt;36526,W170&gt;73050),"Proveriti datum",IF(W170&lt;Pregled!$B$7,"Kasni",IF(W170&lt;=Pregled!$B$7+Pregled!$F$7,"Uskoro","U roku"))))))</f>
        <v/>
      </c>
      <c r="AF170" s="46" t="str">
        <f>IF(COUNTA(A170:AD170)=0,"",IF(A170="","Nedostaje ID",IF(COUNTIFS($A$8:$A$207,A170)&gt;1,"Duplikat ID",IF(OR(B170="",E170="",G170="",COUNTIF(Liste!$B$7:$B$13,H170)=0),"Dopuniti osnovno","Popunjeno"))))</f>
        <v/>
      </c>
      <c r="AG170" s="46" t="str">
        <f>IF(COUNTA(A170:AD170)=0,"",IF(NOT(OR(H170="Pilot",H170="Uslovno odobreno",H170="Odobreno")),"Nije aktivna odluka",IF(OR(K170="",N170="",O170="",P170="",Q170="",R170="",S170="",T170="",U170="",V170="",W170="",X170=""),"Dopuniti evidenciju",IF(OR(NOT(ISNUMBER(V170)),NOT(ISNUMBER(W170))),"Proveriti datume",IF(OR(V170&lt;36526,V170&gt;73050,W170&lt;36526,W170&gt;73050,V170&gt;Pregled!$B$7,W170&lt;V170),"Proveriti datume","Evidentirano")))))</f>
        <v/>
      </c>
      <c r="AH170" s="47" t="str">
        <f>IF(AND(Z170="Da",AA170&lt;&gt;"",AB170&lt;&gt;"",AC170&lt;&gt;"",ISNUMBER(AD170),AD170&gt;=36526,AD170&lt;=73050,AD170&lt;=Pregled!$B$7,AF170="Popunjeno",AG170="Evidentirano",OR(H170="Pilot",H170="Uslovno odobreno",H170="Odobreno")),COUNT($AH$7:AH169)+1,"")</f>
        <v/>
      </c>
    </row>
    <row r="171" ht="54.0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9"/>
      <c r="W171" s="39"/>
      <c r="X171" s="37"/>
      <c r="Y171" s="37"/>
      <c r="Z171" s="37"/>
      <c r="AA171" s="37"/>
      <c r="AB171" s="37"/>
      <c r="AC171" s="37"/>
      <c r="AD171" s="39"/>
      <c r="AE171" s="46" t="str">
        <f>IF(COUNTA(A171:AD171)=0,"",IF(OR(H171="Povučeno",H171="Odbijeno",H171="Obustavljeno"),"Nije aktivno",IF(W171="","Nije određen",IF(OR(NOT(ISNUMBER(W171)),W171&lt;36526,W171&gt;73050),"Proveriti datum",IF(W171&lt;Pregled!$B$7,"Kasni",IF(W171&lt;=Pregled!$B$7+Pregled!$F$7,"Uskoro","U roku"))))))</f>
        <v/>
      </c>
      <c r="AF171" s="46" t="str">
        <f>IF(COUNTA(A171:AD171)=0,"",IF(A171="","Nedostaje ID",IF(COUNTIFS($A$8:$A$207,A171)&gt;1,"Duplikat ID",IF(OR(B171="",E171="",G171="",COUNTIF(Liste!$B$7:$B$13,H171)=0),"Dopuniti osnovno","Popunjeno"))))</f>
        <v/>
      </c>
      <c r="AG171" s="46" t="str">
        <f>IF(COUNTA(A171:AD171)=0,"",IF(NOT(OR(H171="Pilot",H171="Uslovno odobreno",H171="Odobreno")),"Nije aktivna odluka",IF(OR(K171="",N171="",O171="",P171="",Q171="",R171="",S171="",T171="",U171="",V171="",W171="",X171=""),"Dopuniti evidenciju",IF(OR(NOT(ISNUMBER(V171)),NOT(ISNUMBER(W171))),"Proveriti datume",IF(OR(V171&lt;36526,V171&gt;73050,W171&lt;36526,W171&gt;73050,V171&gt;Pregled!$B$7,W171&lt;V171),"Proveriti datume","Evidentirano")))))</f>
        <v/>
      </c>
      <c r="AH171" s="47" t="str">
        <f>IF(AND(Z171="Da",AA171&lt;&gt;"",AB171&lt;&gt;"",AC171&lt;&gt;"",ISNUMBER(AD171),AD171&gt;=36526,AD171&lt;=73050,AD171&lt;=Pregled!$B$7,AF171="Popunjeno",AG171="Evidentirano",OR(H171="Pilot",H171="Uslovno odobreno",H171="Odobreno")),COUNT($AH$7:AH170)+1,"")</f>
        <v/>
      </c>
    </row>
    <row r="172" ht="54.0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9"/>
      <c r="W172" s="39"/>
      <c r="X172" s="37"/>
      <c r="Y172" s="37"/>
      <c r="Z172" s="37"/>
      <c r="AA172" s="37"/>
      <c r="AB172" s="37"/>
      <c r="AC172" s="37"/>
      <c r="AD172" s="39"/>
      <c r="AE172" s="46" t="str">
        <f>IF(COUNTA(A172:AD172)=0,"",IF(OR(H172="Povučeno",H172="Odbijeno",H172="Obustavljeno"),"Nije aktivno",IF(W172="","Nije određen",IF(OR(NOT(ISNUMBER(W172)),W172&lt;36526,W172&gt;73050),"Proveriti datum",IF(W172&lt;Pregled!$B$7,"Kasni",IF(W172&lt;=Pregled!$B$7+Pregled!$F$7,"Uskoro","U roku"))))))</f>
        <v/>
      </c>
      <c r="AF172" s="46" t="str">
        <f>IF(COUNTA(A172:AD172)=0,"",IF(A172="","Nedostaje ID",IF(COUNTIFS($A$8:$A$207,A172)&gt;1,"Duplikat ID",IF(OR(B172="",E172="",G172="",COUNTIF(Liste!$B$7:$B$13,H172)=0),"Dopuniti osnovno","Popunjeno"))))</f>
        <v/>
      </c>
      <c r="AG172" s="46" t="str">
        <f>IF(COUNTA(A172:AD172)=0,"",IF(NOT(OR(H172="Pilot",H172="Uslovno odobreno",H172="Odobreno")),"Nije aktivna odluka",IF(OR(K172="",N172="",O172="",P172="",Q172="",R172="",S172="",T172="",U172="",V172="",W172="",X172=""),"Dopuniti evidenciju",IF(OR(NOT(ISNUMBER(V172)),NOT(ISNUMBER(W172))),"Proveriti datume",IF(OR(V172&lt;36526,V172&gt;73050,W172&lt;36526,W172&gt;73050,V172&gt;Pregled!$B$7,W172&lt;V172),"Proveriti datume","Evidentirano")))))</f>
        <v/>
      </c>
      <c r="AH172" s="47" t="str">
        <f>IF(AND(Z172="Da",AA172&lt;&gt;"",AB172&lt;&gt;"",AC172&lt;&gt;"",ISNUMBER(AD172),AD172&gt;=36526,AD172&lt;=73050,AD172&lt;=Pregled!$B$7,AF172="Popunjeno",AG172="Evidentirano",OR(H172="Pilot",H172="Uslovno odobreno",H172="Odobreno")),COUNT($AH$7:AH171)+1,"")</f>
        <v/>
      </c>
    </row>
    <row r="173" ht="54.0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9"/>
      <c r="W173" s="39"/>
      <c r="X173" s="37"/>
      <c r="Y173" s="37"/>
      <c r="Z173" s="37"/>
      <c r="AA173" s="37"/>
      <c r="AB173" s="37"/>
      <c r="AC173" s="37"/>
      <c r="AD173" s="39"/>
      <c r="AE173" s="46" t="str">
        <f>IF(COUNTA(A173:AD173)=0,"",IF(OR(H173="Povučeno",H173="Odbijeno",H173="Obustavljeno"),"Nije aktivno",IF(W173="","Nije određen",IF(OR(NOT(ISNUMBER(W173)),W173&lt;36526,W173&gt;73050),"Proveriti datum",IF(W173&lt;Pregled!$B$7,"Kasni",IF(W173&lt;=Pregled!$B$7+Pregled!$F$7,"Uskoro","U roku"))))))</f>
        <v/>
      </c>
      <c r="AF173" s="46" t="str">
        <f>IF(COUNTA(A173:AD173)=0,"",IF(A173="","Nedostaje ID",IF(COUNTIFS($A$8:$A$207,A173)&gt;1,"Duplikat ID",IF(OR(B173="",E173="",G173="",COUNTIF(Liste!$B$7:$B$13,H173)=0),"Dopuniti osnovno","Popunjeno"))))</f>
        <v/>
      </c>
      <c r="AG173" s="46" t="str">
        <f>IF(COUNTA(A173:AD173)=0,"",IF(NOT(OR(H173="Pilot",H173="Uslovno odobreno",H173="Odobreno")),"Nije aktivna odluka",IF(OR(K173="",N173="",O173="",P173="",Q173="",R173="",S173="",T173="",U173="",V173="",W173="",X173=""),"Dopuniti evidenciju",IF(OR(NOT(ISNUMBER(V173)),NOT(ISNUMBER(W173))),"Proveriti datume",IF(OR(V173&lt;36526,V173&gt;73050,W173&lt;36526,W173&gt;73050,V173&gt;Pregled!$B$7,W173&lt;V173),"Proveriti datume","Evidentirano")))))</f>
        <v/>
      </c>
      <c r="AH173" s="47" t="str">
        <f>IF(AND(Z173="Da",AA173&lt;&gt;"",AB173&lt;&gt;"",AC173&lt;&gt;"",ISNUMBER(AD173),AD173&gt;=36526,AD173&lt;=73050,AD173&lt;=Pregled!$B$7,AF173="Popunjeno",AG173="Evidentirano",OR(H173="Pilot",H173="Uslovno odobreno",H173="Odobreno")),COUNT($AH$7:AH172)+1,"")</f>
        <v/>
      </c>
    </row>
    <row r="174" ht="54.0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9"/>
      <c r="W174" s="39"/>
      <c r="X174" s="37"/>
      <c r="Y174" s="37"/>
      <c r="Z174" s="37"/>
      <c r="AA174" s="37"/>
      <c r="AB174" s="37"/>
      <c r="AC174" s="37"/>
      <c r="AD174" s="39"/>
      <c r="AE174" s="46" t="str">
        <f>IF(COUNTA(A174:AD174)=0,"",IF(OR(H174="Povučeno",H174="Odbijeno",H174="Obustavljeno"),"Nije aktivno",IF(W174="","Nije određen",IF(OR(NOT(ISNUMBER(W174)),W174&lt;36526,W174&gt;73050),"Proveriti datum",IF(W174&lt;Pregled!$B$7,"Kasni",IF(W174&lt;=Pregled!$B$7+Pregled!$F$7,"Uskoro","U roku"))))))</f>
        <v/>
      </c>
      <c r="AF174" s="46" t="str">
        <f>IF(COUNTA(A174:AD174)=0,"",IF(A174="","Nedostaje ID",IF(COUNTIFS($A$8:$A$207,A174)&gt;1,"Duplikat ID",IF(OR(B174="",E174="",G174="",COUNTIF(Liste!$B$7:$B$13,H174)=0),"Dopuniti osnovno","Popunjeno"))))</f>
        <v/>
      </c>
      <c r="AG174" s="46" t="str">
        <f>IF(COUNTA(A174:AD174)=0,"",IF(NOT(OR(H174="Pilot",H174="Uslovno odobreno",H174="Odobreno")),"Nije aktivna odluka",IF(OR(K174="",N174="",O174="",P174="",Q174="",R174="",S174="",T174="",U174="",V174="",W174="",X174=""),"Dopuniti evidenciju",IF(OR(NOT(ISNUMBER(V174)),NOT(ISNUMBER(W174))),"Proveriti datume",IF(OR(V174&lt;36526,V174&gt;73050,W174&lt;36526,W174&gt;73050,V174&gt;Pregled!$B$7,W174&lt;V174),"Proveriti datume","Evidentirano")))))</f>
        <v/>
      </c>
      <c r="AH174" s="47" t="str">
        <f>IF(AND(Z174="Da",AA174&lt;&gt;"",AB174&lt;&gt;"",AC174&lt;&gt;"",ISNUMBER(AD174),AD174&gt;=36526,AD174&lt;=73050,AD174&lt;=Pregled!$B$7,AF174="Popunjeno",AG174="Evidentirano",OR(H174="Pilot",H174="Uslovno odobreno",H174="Odobreno")),COUNT($AH$7:AH173)+1,"")</f>
        <v/>
      </c>
    </row>
    <row r="175" ht="54.0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9"/>
      <c r="W175" s="39"/>
      <c r="X175" s="37"/>
      <c r="Y175" s="37"/>
      <c r="Z175" s="37"/>
      <c r="AA175" s="37"/>
      <c r="AB175" s="37"/>
      <c r="AC175" s="37"/>
      <c r="AD175" s="39"/>
      <c r="AE175" s="46" t="str">
        <f>IF(COUNTA(A175:AD175)=0,"",IF(OR(H175="Povučeno",H175="Odbijeno",H175="Obustavljeno"),"Nije aktivno",IF(W175="","Nije određen",IF(OR(NOT(ISNUMBER(W175)),W175&lt;36526,W175&gt;73050),"Proveriti datum",IF(W175&lt;Pregled!$B$7,"Kasni",IF(W175&lt;=Pregled!$B$7+Pregled!$F$7,"Uskoro","U roku"))))))</f>
        <v/>
      </c>
      <c r="AF175" s="46" t="str">
        <f>IF(COUNTA(A175:AD175)=0,"",IF(A175="","Nedostaje ID",IF(COUNTIFS($A$8:$A$207,A175)&gt;1,"Duplikat ID",IF(OR(B175="",E175="",G175="",COUNTIF(Liste!$B$7:$B$13,H175)=0),"Dopuniti osnovno","Popunjeno"))))</f>
        <v/>
      </c>
      <c r="AG175" s="46" t="str">
        <f>IF(COUNTA(A175:AD175)=0,"",IF(NOT(OR(H175="Pilot",H175="Uslovno odobreno",H175="Odobreno")),"Nije aktivna odluka",IF(OR(K175="",N175="",O175="",P175="",Q175="",R175="",S175="",T175="",U175="",V175="",W175="",X175=""),"Dopuniti evidenciju",IF(OR(NOT(ISNUMBER(V175)),NOT(ISNUMBER(W175))),"Proveriti datume",IF(OR(V175&lt;36526,V175&gt;73050,W175&lt;36526,W175&gt;73050,V175&gt;Pregled!$B$7,W175&lt;V175),"Proveriti datume","Evidentirano")))))</f>
        <v/>
      </c>
      <c r="AH175" s="47" t="str">
        <f>IF(AND(Z175="Da",AA175&lt;&gt;"",AB175&lt;&gt;"",AC175&lt;&gt;"",ISNUMBER(AD175),AD175&gt;=36526,AD175&lt;=73050,AD175&lt;=Pregled!$B$7,AF175="Popunjeno",AG175="Evidentirano",OR(H175="Pilot",H175="Uslovno odobreno",H175="Odobreno")),COUNT($AH$7:AH174)+1,"")</f>
        <v/>
      </c>
    </row>
    <row r="176" ht="54.0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9"/>
      <c r="W176" s="39"/>
      <c r="X176" s="37"/>
      <c r="Y176" s="37"/>
      <c r="Z176" s="37"/>
      <c r="AA176" s="37"/>
      <c r="AB176" s="37"/>
      <c r="AC176" s="37"/>
      <c r="AD176" s="39"/>
      <c r="AE176" s="46" t="str">
        <f>IF(COUNTA(A176:AD176)=0,"",IF(OR(H176="Povučeno",H176="Odbijeno",H176="Obustavljeno"),"Nije aktivno",IF(W176="","Nije određen",IF(OR(NOT(ISNUMBER(W176)),W176&lt;36526,W176&gt;73050),"Proveriti datum",IF(W176&lt;Pregled!$B$7,"Kasni",IF(W176&lt;=Pregled!$B$7+Pregled!$F$7,"Uskoro","U roku"))))))</f>
        <v/>
      </c>
      <c r="AF176" s="46" t="str">
        <f>IF(COUNTA(A176:AD176)=0,"",IF(A176="","Nedostaje ID",IF(COUNTIFS($A$8:$A$207,A176)&gt;1,"Duplikat ID",IF(OR(B176="",E176="",G176="",COUNTIF(Liste!$B$7:$B$13,H176)=0),"Dopuniti osnovno","Popunjeno"))))</f>
        <v/>
      </c>
      <c r="AG176" s="46" t="str">
        <f>IF(COUNTA(A176:AD176)=0,"",IF(NOT(OR(H176="Pilot",H176="Uslovno odobreno",H176="Odobreno")),"Nije aktivna odluka",IF(OR(K176="",N176="",O176="",P176="",Q176="",R176="",S176="",T176="",U176="",V176="",W176="",X176=""),"Dopuniti evidenciju",IF(OR(NOT(ISNUMBER(V176)),NOT(ISNUMBER(W176))),"Proveriti datume",IF(OR(V176&lt;36526,V176&gt;73050,W176&lt;36526,W176&gt;73050,V176&gt;Pregled!$B$7,W176&lt;V176),"Proveriti datume","Evidentirano")))))</f>
        <v/>
      </c>
      <c r="AH176" s="47" t="str">
        <f>IF(AND(Z176="Da",AA176&lt;&gt;"",AB176&lt;&gt;"",AC176&lt;&gt;"",ISNUMBER(AD176),AD176&gt;=36526,AD176&lt;=73050,AD176&lt;=Pregled!$B$7,AF176="Popunjeno",AG176="Evidentirano",OR(H176="Pilot",H176="Uslovno odobreno",H176="Odobreno")),COUNT($AH$7:AH175)+1,"")</f>
        <v/>
      </c>
    </row>
    <row r="177" ht="54.0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9"/>
      <c r="W177" s="39"/>
      <c r="X177" s="37"/>
      <c r="Y177" s="37"/>
      <c r="Z177" s="37"/>
      <c r="AA177" s="37"/>
      <c r="AB177" s="37"/>
      <c r="AC177" s="37"/>
      <c r="AD177" s="39"/>
      <c r="AE177" s="46" t="str">
        <f>IF(COUNTA(A177:AD177)=0,"",IF(OR(H177="Povučeno",H177="Odbijeno",H177="Obustavljeno"),"Nije aktivno",IF(W177="","Nije određen",IF(OR(NOT(ISNUMBER(W177)),W177&lt;36526,W177&gt;73050),"Proveriti datum",IF(W177&lt;Pregled!$B$7,"Kasni",IF(W177&lt;=Pregled!$B$7+Pregled!$F$7,"Uskoro","U roku"))))))</f>
        <v/>
      </c>
      <c r="AF177" s="46" t="str">
        <f>IF(COUNTA(A177:AD177)=0,"",IF(A177="","Nedostaje ID",IF(COUNTIFS($A$8:$A$207,A177)&gt;1,"Duplikat ID",IF(OR(B177="",E177="",G177="",COUNTIF(Liste!$B$7:$B$13,H177)=0),"Dopuniti osnovno","Popunjeno"))))</f>
        <v/>
      </c>
      <c r="AG177" s="46" t="str">
        <f>IF(COUNTA(A177:AD177)=0,"",IF(NOT(OR(H177="Pilot",H177="Uslovno odobreno",H177="Odobreno")),"Nije aktivna odluka",IF(OR(K177="",N177="",O177="",P177="",Q177="",R177="",S177="",T177="",U177="",V177="",W177="",X177=""),"Dopuniti evidenciju",IF(OR(NOT(ISNUMBER(V177)),NOT(ISNUMBER(W177))),"Proveriti datume",IF(OR(V177&lt;36526,V177&gt;73050,W177&lt;36526,W177&gt;73050,V177&gt;Pregled!$B$7,W177&lt;V177),"Proveriti datume","Evidentirano")))))</f>
        <v/>
      </c>
      <c r="AH177" s="47" t="str">
        <f>IF(AND(Z177="Da",AA177&lt;&gt;"",AB177&lt;&gt;"",AC177&lt;&gt;"",ISNUMBER(AD177),AD177&gt;=36526,AD177&lt;=73050,AD177&lt;=Pregled!$B$7,AF177="Popunjeno",AG177="Evidentirano",OR(H177="Pilot",H177="Uslovno odobreno",H177="Odobreno")),COUNT($AH$7:AH176)+1,"")</f>
        <v/>
      </c>
    </row>
    <row r="178" ht="54.0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9"/>
      <c r="W178" s="39"/>
      <c r="X178" s="37"/>
      <c r="Y178" s="37"/>
      <c r="Z178" s="37"/>
      <c r="AA178" s="37"/>
      <c r="AB178" s="37"/>
      <c r="AC178" s="37"/>
      <c r="AD178" s="39"/>
      <c r="AE178" s="46" t="str">
        <f>IF(COUNTA(A178:AD178)=0,"",IF(OR(H178="Povučeno",H178="Odbijeno",H178="Obustavljeno"),"Nije aktivno",IF(W178="","Nije određen",IF(OR(NOT(ISNUMBER(W178)),W178&lt;36526,W178&gt;73050),"Proveriti datum",IF(W178&lt;Pregled!$B$7,"Kasni",IF(W178&lt;=Pregled!$B$7+Pregled!$F$7,"Uskoro","U roku"))))))</f>
        <v/>
      </c>
      <c r="AF178" s="46" t="str">
        <f>IF(COUNTA(A178:AD178)=0,"",IF(A178="","Nedostaje ID",IF(COUNTIFS($A$8:$A$207,A178)&gt;1,"Duplikat ID",IF(OR(B178="",E178="",G178="",COUNTIF(Liste!$B$7:$B$13,H178)=0),"Dopuniti osnovno","Popunjeno"))))</f>
        <v/>
      </c>
      <c r="AG178" s="46" t="str">
        <f>IF(COUNTA(A178:AD178)=0,"",IF(NOT(OR(H178="Pilot",H178="Uslovno odobreno",H178="Odobreno")),"Nije aktivna odluka",IF(OR(K178="",N178="",O178="",P178="",Q178="",R178="",S178="",T178="",U178="",V178="",W178="",X178=""),"Dopuniti evidenciju",IF(OR(NOT(ISNUMBER(V178)),NOT(ISNUMBER(W178))),"Proveriti datume",IF(OR(V178&lt;36526,V178&gt;73050,W178&lt;36526,W178&gt;73050,V178&gt;Pregled!$B$7,W178&lt;V178),"Proveriti datume","Evidentirano")))))</f>
        <v/>
      </c>
      <c r="AH178" s="47" t="str">
        <f>IF(AND(Z178="Da",AA178&lt;&gt;"",AB178&lt;&gt;"",AC178&lt;&gt;"",ISNUMBER(AD178),AD178&gt;=36526,AD178&lt;=73050,AD178&lt;=Pregled!$B$7,AF178="Popunjeno",AG178="Evidentirano",OR(H178="Pilot",H178="Uslovno odobreno",H178="Odobreno")),COUNT($AH$7:AH177)+1,"")</f>
        <v/>
      </c>
    </row>
    <row r="179" ht="54.0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9"/>
      <c r="W179" s="39"/>
      <c r="X179" s="37"/>
      <c r="Y179" s="37"/>
      <c r="Z179" s="37"/>
      <c r="AA179" s="37"/>
      <c r="AB179" s="37"/>
      <c r="AC179" s="37"/>
      <c r="AD179" s="39"/>
      <c r="AE179" s="46" t="str">
        <f>IF(COUNTA(A179:AD179)=0,"",IF(OR(H179="Povučeno",H179="Odbijeno",H179="Obustavljeno"),"Nije aktivno",IF(W179="","Nije određen",IF(OR(NOT(ISNUMBER(W179)),W179&lt;36526,W179&gt;73050),"Proveriti datum",IF(W179&lt;Pregled!$B$7,"Kasni",IF(W179&lt;=Pregled!$B$7+Pregled!$F$7,"Uskoro","U roku"))))))</f>
        <v/>
      </c>
      <c r="AF179" s="46" t="str">
        <f>IF(COUNTA(A179:AD179)=0,"",IF(A179="","Nedostaje ID",IF(COUNTIFS($A$8:$A$207,A179)&gt;1,"Duplikat ID",IF(OR(B179="",E179="",G179="",COUNTIF(Liste!$B$7:$B$13,H179)=0),"Dopuniti osnovno","Popunjeno"))))</f>
        <v/>
      </c>
      <c r="AG179" s="46" t="str">
        <f>IF(COUNTA(A179:AD179)=0,"",IF(NOT(OR(H179="Pilot",H179="Uslovno odobreno",H179="Odobreno")),"Nije aktivna odluka",IF(OR(K179="",N179="",O179="",P179="",Q179="",R179="",S179="",T179="",U179="",V179="",W179="",X179=""),"Dopuniti evidenciju",IF(OR(NOT(ISNUMBER(V179)),NOT(ISNUMBER(W179))),"Proveriti datume",IF(OR(V179&lt;36526,V179&gt;73050,W179&lt;36526,W179&gt;73050,V179&gt;Pregled!$B$7,W179&lt;V179),"Proveriti datume","Evidentirano")))))</f>
        <v/>
      </c>
      <c r="AH179" s="47" t="str">
        <f>IF(AND(Z179="Da",AA179&lt;&gt;"",AB179&lt;&gt;"",AC179&lt;&gt;"",ISNUMBER(AD179),AD179&gt;=36526,AD179&lt;=73050,AD179&lt;=Pregled!$B$7,AF179="Popunjeno",AG179="Evidentirano",OR(H179="Pilot",H179="Uslovno odobreno",H179="Odobreno")),COUNT($AH$7:AH178)+1,"")</f>
        <v/>
      </c>
    </row>
    <row r="180" ht="54.0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9"/>
      <c r="W180" s="39"/>
      <c r="X180" s="37"/>
      <c r="Y180" s="37"/>
      <c r="Z180" s="37"/>
      <c r="AA180" s="37"/>
      <c r="AB180" s="37"/>
      <c r="AC180" s="37"/>
      <c r="AD180" s="39"/>
      <c r="AE180" s="46" t="str">
        <f>IF(COUNTA(A180:AD180)=0,"",IF(OR(H180="Povučeno",H180="Odbijeno",H180="Obustavljeno"),"Nije aktivno",IF(W180="","Nije određen",IF(OR(NOT(ISNUMBER(W180)),W180&lt;36526,W180&gt;73050),"Proveriti datum",IF(W180&lt;Pregled!$B$7,"Kasni",IF(W180&lt;=Pregled!$B$7+Pregled!$F$7,"Uskoro","U roku"))))))</f>
        <v/>
      </c>
      <c r="AF180" s="46" t="str">
        <f>IF(COUNTA(A180:AD180)=0,"",IF(A180="","Nedostaje ID",IF(COUNTIFS($A$8:$A$207,A180)&gt;1,"Duplikat ID",IF(OR(B180="",E180="",G180="",COUNTIF(Liste!$B$7:$B$13,H180)=0),"Dopuniti osnovno","Popunjeno"))))</f>
        <v/>
      </c>
      <c r="AG180" s="46" t="str">
        <f>IF(COUNTA(A180:AD180)=0,"",IF(NOT(OR(H180="Pilot",H180="Uslovno odobreno",H180="Odobreno")),"Nije aktivna odluka",IF(OR(K180="",N180="",O180="",P180="",Q180="",R180="",S180="",T180="",U180="",V180="",W180="",X180=""),"Dopuniti evidenciju",IF(OR(NOT(ISNUMBER(V180)),NOT(ISNUMBER(W180))),"Proveriti datume",IF(OR(V180&lt;36526,V180&gt;73050,W180&lt;36526,W180&gt;73050,V180&gt;Pregled!$B$7,W180&lt;V180),"Proveriti datume","Evidentirano")))))</f>
        <v/>
      </c>
      <c r="AH180" s="47" t="str">
        <f>IF(AND(Z180="Da",AA180&lt;&gt;"",AB180&lt;&gt;"",AC180&lt;&gt;"",ISNUMBER(AD180),AD180&gt;=36526,AD180&lt;=73050,AD180&lt;=Pregled!$B$7,AF180="Popunjeno",AG180="Evidentirano",OR(H180="Pilot",H180="Uslovno odobreno",H180="Odobreno")),COUNT($AH$7:AH179)+1,"")</f>
        <v/>
      </c>
    </row>
    <row r="181" ht="54.0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9"/>
      <c r="W181" s="39"/>
      <c r="X181" s="37"/>
      <c r="Y181" s="37"/>
      <c r="Z181" s="37"/>
      <c r="AA181" s="37"/>
      <c r="AB181" s="37"/>
      <c r="AC181" s="37"/>
      <c r="AD181" s="39"/>
      <c r="AE181" s="46" t="str">
        <f>IF(COUNTA(A181:AD181)=0,"",IF(OR(H181="Povučeno",H181="Odbijeno",H181="Obustavljeno"),"Nije aktivno",IF(W181="","Nije određen",IF(OR(NOT(ISNUMBER(W181)),W181&lt;36526,W181&gt;73050),"Proveriti datum",IF(W181&lt;Pregled!$B$7,"Kasni",IF(W181&lt;=Pregled!$B$7+Pregled!$F$7,"Uskoro","U roku"))))))</f>
        <v/>
      </c>
      <c r="AF181" s="46" t="str">
        <f>IF(COUNTA(A181:AD181)=0,"",IF(A181="","Nedostaje ID",IF(COUNTIFS($A$8:$A$207,A181)&gt;1,"Duplikat ID",IF(OR(B181="",E181="",G181="",COUNTIF(Liste!$B$7:$B$13,H181)=0),"Dopuniti osnovno","Popunjeno"))))</f>
        <v/>
      </c>
      <c r="AG181" s="46" t="str">
        <f>IF(COUNTA(A181:AD181)=0,"",IF(NOT(OR(H181="Pilot",H181="Uslovno odobreno",H181="Odobreno")),"Nije aktivna odluka",IF(OR(K181="",N181="",O181="",P181="",Q181="",R181="",S181="",T181="",U181="",V181="",W181="",X181=""),"Dopuniti evidenciju",IF(OR(NOT(ISNUMBER(V181)),NOT(ISNUMBER(W181))),"Proveriti datume",IF(OR(V181&lt;36526,V181&gt;73050,W181&lt;36526,W181&gt;73050,V181&gt;Pregled!$B$7,W181&lt;V181),"Proveriti datume","Evidentirano")))))</f>
        <v/>
      </c>
      <c r="AH181" s="47" t="str">
        <f>IF(AND(Z181="Da",AA181&lt;&gt;"",AB181&lt;&gt;"",AC181&lt;&gt;"",ISNUMBER(AD181),AD181&gt;=36526,AD181&lt;=73050,AD181&lt;=Pregled!$B$7,AF181="Popunjeno",AG181="Evidentirano",OR(H181="Pilot",H181="Uslovno odobreno",H181="Odobreno")),COUNT($AH$7:AH180)+1,"")</f>
        <v/>
      </c>
    </row>
    <row r="182" ht="54.0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9"/>
      <c r="W182" s="39"/>
      <c r="X182" s="37"/>
      <c r="Y182" s="37"/>
      <c r="Z182" s="37"/>
      <c r="AA182" s="37"/>
      <c r="AB182" s="37"/>
      <c r="AC182" s="37"/>
      <c r="AD182" s="39"/>
      <c r="AE182" s="46" t="str">
        <f>IF(COUNTA(A182:AD182)=0,"",IF(OR(H182="Povučeno",H182="Odbijeno",H182="Obustavljeno"),"Nije aktivno",IF(W182="","Nije određen",IF(OR(NOT(ISNUMBER(W182)),W182&lt;36526,W182&gt;73050),"Proveriti datum",IF(W182&lt;Pregled!$B$7,"Kasni",IF(W182&lt;=Pregled!$B$7+Pregled!$F$7,"Uskoro","U roku"))))))</f>
        <v/>
      </c>
      <c r="AF182" s="46" t="str">
        <f>IF(COUNTA(A182:AD182)=0,"",IF(A182="","Nedostaje ID",IF(COUNTIFS($A$8:$A$207,A182)&gt;1,"Duplikat ID",IF(OR(B182="",E182="",G182="",COUNTIF(Liste!$B$7:$B$13,H182)=0),"Dopuniti osnovno","Popunjeno"))))</f>
        <v/>
      </c>
      <c r="AG182" s="46" t="str">
        <f>IF(COUNTA(A182:AD182)=0,"",IF(NOT(OR(H182="Pilot",H182="Uslovno odobreno",H182="Odobreno")),"Nije aktivna odluka",IF(OR(K182="",N182="",O182="",P182="",Q182="",R182="",S182="",T182="",U182="",V182="",W182="",X182=""),"Dopuniti evidenciju",IF(OR(NOT(ISNUMBER(V182)),NOT(ISNUMBER(W182))),"Proveriti datume",IF(OR(V182&lt;36526,V182&gt;73050,W182&lt;36526,W182&gt;73050,V182&gt;Pregled!$B$7,W182&lt;V182),"Proveriti datume","Evidentirano")))))</f>
        <v/>
      </c>
      <c r="AH182" s="47" t="str">
        <f>IF(AND(Z182="Da",AA182&lt;&gt;"",AB182&lt;&gt;"",AC182&lt;&gt;"",ISNUMBER(AD182),AD182&gt;=36526,AD182&lt;=73050,AD182&lt;=Pregled!$B$7,AF182="Popunjeno",AG182="Evidentirano",OR(H182="Pilot",H182="Uslovno odobreno",H182="Odobreno")),COUNT($AH$7:AH181)+1,"")</f>
        <v/>
      </c>
    </row>
    <row r="183" ht="54.0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9"/>
      <c r="W183" s="39"/>
      <c r="X183" s="37"/>
      <c r="Y183" s="37"/>
      <c r="Z183" s="37"/>
      <c r="AA183" s="37"/>
      <c r="AB183" s="37"/>
      <c r="AC183" s="37"/>
      <c r="AD183" s="39"/>
      <c r="AE183" s="46" t="str">
        <f>IF(COUNTA(A183:AD183)=0,"",IF(OR(H183="Povučeno",H183="Odbijeno",H183="Obustavljeno"),"Nije aktivno",IF(W183="","Nije određen",IF(OR(NOT(ISNUMBER(W183)),W183&lt;36526,W183&gt;73050),"Proveriti datum",IF(W183&lt;Pregled!$B$7,"Kasni",IF(W183&lt;=Pregled!$B$7+Pregled!$F$7,"Uskoro","U roku"))))))</f>
        <v/>
      </c>
      <c r="AF183" s="46" t="str">
        <f>IF(COUNTA(A183:AD183)=0,"",IF(A183="","Nedostaje ID",IF(COUNTIFS($A$8:$A$207,A183)&gt;1,"Duplikat ID",IF(OR(B183="",E183="",G183="",COUNTIF(Liste!$B$7:$B$13,H183)=0),"Dopuniti osnovno","Popunjeno"))))</f>
        <v/>
      </c>
      <c r="AG183" s="46" t="str">
        <f>IF(COUNTA(A183:AD183)=0,"",IF(NOT(OR(H183="Pilot",H183="Uslovno odobreno",H183="Odobreno")),"Nije aktivna odluka",IF(OR(K183="",N183="",O183="",P183="",Q183="",R183="",S183="",T183="",U183="",V183="",W183="",X183=""),"Dopuniti evidenciju",IF(OR(NOT(ISNUMBER(V183)),NOT(ISNUMBER(W183))),"Proveriti datume",IF(OR(V183&lt;36526,V183&gt;73050,W183&lt;36526,W183&gt;73050,V183&gt;Pregled!$B$7,W183&lt;V183),"Proveriti datume","Evidentirano")))))</f>
        <v/>
      </c>
      <c r="AH183" s="47" t="str">
        <f>IF(AND(Z183="Da",AA183&lt;&gt;"",AB183&lt;&gt;"",AC183&lt;&gt;"",ISNUMBER(AD183),AD183&gt;=36526,AD183&lt;=73050,AD183&lt;=Pregled!$B$7,AF183="Popunjeno",AG183="Evidentirano",OR(H183="Pilot",H183="Uslovno odobreno",H183="Odobreno")),COUNT($AH$7:AH182)+1,"")</f>
        <v/>
      </c>
    </row>
    <row r="184" ht="54.0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9"/>
      <c r="W184" s="39"/>
      <c r="X184" s="37"/>
      <c r="Y184" s="37"/>
      <c r="Z184" s="37"/>
      <c r="AA184" s="37"/>
      <c r="AB184" s="37"/>
      <c r="AC184" s="37"/>
      <c r="AD184" s="39"/>
      <c r="AE184" s="46" t="str">
        <f>IF(COUNTA(A184:AD184)=0,"",IF(OR(H184="Povučeno",H184="Odbijeno",H184="Obustavljeno"),"Nije aktivno",IF(W184="","Nije određen",IF(OR(NOT(ISNUMBER(W184)),W184&lt;36526,W184&gt;73050),"Proveriti datum",IF(W184&lt;Pregled!$B$7,"Kasni",IF(W184&lt;=Pregled!$B$7+Pregled!$F$7,"Uskoro","U roku"))))))</f>
        <v/>
      </c>
      <c r="AF184" s="46" t="str">
        <f>IF(COUNTA(A184:AD184)=0,"",IF(A184="","Nedostaje ID",IF(COUNTIFS($A$8:$A$207,A184)&gt;1,"Duplikat ID",IF(OR(B184="",E184="",G184="",COUNTIF(Liste!$B$7:$B$13,H184)=0),"Dopuniti osnovno","Popunjeno"))))</f>
        <v/>
      </c>
      <c r="AG184" s="46" t="str">
        <f>IF(COUNTA(A184:AD184)=0,"",IF(NOT(OR(H184="Pilot",H184="Uslovno odobreno",H184="Odobreno")),"Nije aktivna odluka",IF(OR(K184="",N184="",O184="",P184="",Q184="",R184="",S184="",T184="",U184="",V184="",W184="",X184=""),"Dopuniti evidenciju",IF(OR(NOT(ISNUMBER(V184)),NOT(ISNUMBER(W184))),"Proveriti datume",IF(OR(V184&lt;36526,V184&gt;73050,W184&lt;36526,W184&gt;73050,V184&gt;Pregled!$B$7,W184&lt;V184),"Proveriti datume","Evidentirano")))))</f>
        <v/>
      </c>
      <c r="AH184" s="47" t="str">
        <f>IF(AND(Z184="Da",AA184&lt;&gt;"",AB184&lt;&gt;"",AC184&lt;&gt;"",ISNUMBER(AD184),AD184&gt;=36526,AD184&lt;=73050,AD184&lt;=Pregled!$B$7,AF184="Popunjeno",AG184="Evidentirano",OR(H184="Pilot",H184="Uslovno odobreno",H184="Odobreno")),COUNT($AH$7:AH183)+1,"")</f>
        <v/>
      </c>
    </row>
    <row r="185" ht="54.0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9"/>
      <c r="W185" s="39"/>
      <c r="X185" s="37"/>
      <c r="Y185" s="37"/>
      <c r="Z185" s="37"/>
      <c r="AA185" s="37"/>
      <c r="AB185" s="37"/>
      <c r="AC185" s="37"/>
      <c r="AD185" s="39"/>
      <c r="AE185" s="46" t="str">
        <f>IF(COUNTA(A185:AD185)=0,"",IF(OR(H185="Povučeno",H185="Odbijeno",H185="Obustavljeno"),"Nije aktivno",IF(W185="","Nije određen",IF(OR(NOT(ISNUMBER(W185)),W185&lt;36526,W185&gt;73050),"Proveriti datum",IF(W185&lt;Pregled!$B$7,"Kasni",IF(W185&lt;=Pregled!$B$7+Pregled!$F$7,"Uskoro","U roku"))))))</f>
        <v/>
      </c>
      <c r="AF185" s="46" t="str">
        <f>IF(COUNTA(A185:AD185)=0,"",IF(A185="","Nedostaje ID",IF(COUNTIFS($A$8:$A$207,A185)&gt;1,"Duplikat ID",IF(OR(B185="",E185="",G185="",COUNTIF(Liste!$B$7:$B$13,H185)=0),"Dopuniti osnovno","Popunjeno"))))</f>
        <v/>
      </c>
      <c r="AG185" s="46" t="str">
        <f>IF(COUNTA(A185:AD185)=0,"",IF(NOT(OR(H185="Pilot",H185="Uslovno odobreno",H185="Odobreno")),"Nije aktivna odluka",IF(OR(K185="",N185="",O185="",P185="",Q185="",R185="",S185="",T185="",U185="",V185="",W185="",X185=""),"Dopuniti evidenciju",IF(OR(NOT(ISNUMBER(V185)),NOT(ISNUMBER(W185))),"Proveriti datume",IF(OR(V185&lt;36526,V185&gt;73050,W185&lt;36526,W185&gt;73050,V185&gt;Pregled!$B$7,W185&lt;V185),"Proveriti datume","Evidentirano")))))</f>
        <v/>
      </c>
      <c r="AH185" s="47" t="str">
        <f>IF(AND(Z185="Da",AA185&lt;&gt;"",AB185&lt;&gt;"",AC185&lt;&gt;"",ISNUMBER(AD185),AD185&gt;=36526,AD185&lt;=73050,AD185&lt;=Pregled!$B$7,AF185="Popunjeno",AG185="Evidentirano",OR(H185="Pilot",H185="Uslovno odobreno",H185="Odobreno")),COUNT($AH$7:AH184)+1,"")</f>
        <v/>
      </c>
    </row>
    <row r="186" ht="54.0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9"/>
      <c r="W186" s="39"/>
      <c r="X186" s="37"/>
      <c r="Y186" s="37"/>
      <c r="Z186" s="37"/>
      <c r="AA186" s="37"/>
      <c r="AB186" s="37"/>
      <c r="AC186" s="37"/>
      <c r="AD186" s="39"/>
      <c r="AE186" s="46" t="str">
        <f>IF(COUNTA(A186:AD186)=0,"",IF(OR(H186="Povučeno",H186="Odbijeno",H186="Obustavljeno"),"Nije aktivno",IF(W186="","Nije određen",IF(OR(NOT(ISNUMBER(W186)),W186&lt;36526,W186&gt;73050),"Proveriti datum",IF(W186&lt;Pregled!$B$7,"Kasni",IF(W186&lt;=Pregled!$B$7+Pregled!$F$7,"Uskoro","U roku"))))))</f>
        <v/>
      </c>
      <c r="AF186" s="46" t="str">
        <f>IF(COUNTA(A186:AD186)=0,"",IF(A186="","Nedostaje ID",IF(COUNTIFS($A$8:$A$207,A186)&gt;1,"Duplikat ID",IF(OR(B186="",E186="",G186="",COUNTIF(Liste!$B$7:$B$13,H186)=0),"Dopuniti osnovno","Popunjeno"))))</f>
        <v/>
      </c>
      <c r="AG186" s="46" t="str">
        <f>IF(COUNTA(A186:AD186)=0,"",IF(NOT(OR(H186="Pilot",H186="Uslovno odobreno",H186="Odobreno")),"Nije aktivna odluka",IF(OR(K186="",N186="",O186="",P186="",Q186="",R186="",S186="",T186="",U186="",V186="",W186="",X186=""),"Dopuniti evidenciju",IF(OR(NOT(ISNUMBER(V186)),NOT(ISNUMBER(W186))),"Proveriti datume",IF(OR(V186&lt;36526,V186&gt;73050,W186&lt;36526,W186&gt;73050,V186&gt;Pregled!$B$7,W186&lt;V186),"Proveriti datume","Evidentirano")))))</f>
        <v/>
      </c>
      <c r="AH186" s="47" t="str">
        <f>IF(AND(Z186="Da",AA186&lt;&gt;"",AB186&lt;&gt;"",AC186&lt;&gt;"",ISNUMBER(AD186),AD186&gt;=36526,AD186&lt;=73050,AD186&lt;=Pregled!$B$7,AF186="Popunjeno",AG186="Evidentirano",OR(H186="Pilot",H186="Uslovno odobreno",H186="Odobreno")),COUNT($AH$7:AH185)+1,"")</f>
        <v/>
      </c>
    </row>
    <row r="187" ht="54.0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9"/>
      <c r="W187" s="39"/>
      <c r="X187" s="37"/>
      <c r="Y187" s="37"/>
      <c r="Z187" s="37"/>
      <c r="AA187" s="37"/>
      <c r="AB187" s="37"/>
      <c r="AC187" s="37"/>
      <c r="AD187" s="39"/>
      <c r="AE187" s="46" t="str">
        <f>IF(COUNTA(A187:AD187)=0,"",IF(OR(H187="Povučeno",H187="Odbijeno",H187="Obustavljeno"),"Nije aktivno",IF(W187="","Nije određen",IF(OR(NOT(ISNUMBER(W187)),W187&lt;36526,W187&gt;73050),"Proveriti datum",IF(W187&lt;Pregled!$B$7,"Kasni",IF(W187&lt;=Pregled!$B$7+Pregled!$F$7,"Uskoro","U roku"))))))</f>
        <v/>
      </c>
      <c r="AF187" s="46" t="str">
        <f>IF(COUNTA(A187:AD187)=0,"",IF(A187="","Nedostaje ID",IF(COUNTIFS($A$8:$A$207,A187)&gt;1,"Duplikat ID",IF(OR(B187="",E187="",G187="",COUNTIF(Liste!$B$7:$B$13,H187)=0),"Dopuniti osnovno","Popunjeno"))))</f>
        <v/>
      </c>
      <c r="AG187" s="46" t="str">
        <f>IF(COUNTA(A187:AD187)=0,"",IF(NOT(OR(H187="Pilot",H187="Uslovno odobreno",H187="Odobreno")),"Nije aktivna odluka",IF(OR(K187="",N187="",O187="",P187="",Q187="",R187="",S187="",T187="",U187="",V187="",W187="",X187=""),"Dopuniti evidenciju",IF(OR(NOT(ISNUMBER(V187)),NOT(ISNUMBER(W187))),"Proveriti datume",IF(OR(V187&lt;36526,V187&gt;73050,W187&lt;36526,W187&gt;73050,V187&gt;Pregled!$B$7,W187&lt;V187),"Proveriti datume","Evidentirano")))))</f>
        <v/>
      </c>
      <c r="AH187" s="47" t="str">
        <f>IF(AND(Z187="Da",AA187&lt;&gt;"",AB187&lt;&gt;"",AC187&lt;&gt;"",ISNUMBER(AD187),AD187&gt;=36526,AD187&lt;=73050,AD187&lt;=Pregled!$B$7,AF187="Popunjeno",AG187="Evidentirano",OR(H187="Pilot",H187="Uslovno odobreno",H187="Odobreno")),COUNT($AH$7:AH186)+1,"")</f>
        <v/>
      </c>
    </row>
    <row r="188" ht="54.0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9"/>
      <c r="W188" s="39"/>
      <c r="X188" s="37"/>
      <c r="Y188" s="37"/>
      <c r="Z188" s="37"/>
      <c r="AA188" s="37"/>
      <c r="AB188" s="37"/>
      <c r="AC188" s="37"/>
      <c r="AD188" s="39"/>
      <c r="AE188" s="46" t="str">
        <f>IF(COUNTA(A188:AD188)=0,"",IF(OR(H188="Povučeno",H188="Odbijeno",H188="Obustavljeno"),"Nije aktivno",IF(W188="","Nije određen",IF(OR(NOT(ISNUMBER(W188)),W188&lt;36526,W188&gt;73050),"Proveriti datum",IF(W188&lt;Pregled!$B$7,"Kasni",IF(W188&lt;=Pregled!$B$7+Pregled!$F$7,"Uskoro","U roku"))))))</f>
        <v/>
      </c>
      <c r="AF188" s="46" t="str">
        <f>IF(COUNTA(A188:AD188)=0,"",IF(A188="","Nedostaje ID",IF(COUNTIFS($A$8:$A$207,A188)&gt;1,"Duplikat ID",IF(OR(B188="",E188="",G188="",COUNTIF(Liste!$B$7:$B$13,H188)=0),"Dopuniti osnovno","Popunjeno"))))</f>
        <v/>
      </c>
      <c r="AG188" s="46" t="str">
        <f>IF(COUNTA(A188:AD188)=0,"",IF(NOT(OR(H188="Pilot",H188="Uslovno odobreno",H188="Odobreno")),"Nije aktivna odluka",IF(OR(K188="",N188="",O188="",P188="",Q188="",R188="",S188="",T188="",U188="",V188="",W188="",X188=""),"Dopuniti evidenciju",IF(OR(NOT(ISNUMBER(V188)),NOT(ISNUMBER(W188))),"Proveriti datume",IF(OR(V188&lt;36526,V188&gt;73050,W188&lt;36526,W188&gt;73050,V188&gt;Pregled!$B$7,W188&lt;V188),"Proveriti datume","Evidentirano")))))</f>
        <v/>
      </c>
      <c r="AH188" s="47" t="str">
        <f>IF(AND(Z188="Da",AA188&lt;&gt;"",AB188&lt;&gt;"",AC188&lt;&gt;"",ISNUMBER(AD188),AD188&gt;=36526,AD188&lt;=73050,AD188&lt;=Pregled!$B$7,AF188="Popunjeno",AG188="Evidentirano",OR(H188="Pilot",H188="Uslovno odobreno",H188="Odobreno")),COUNT($AH$7:AH187)+1,"")</f>
        <v/>
      </c>
    </row>
    <row r="189" ht="54.0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9"/>
      <c r="W189" s="39"/>
      <c r="X189" s="37"/>
      <c r="Y189" s="37"/>
      <c r="Z189" s="37"/>
      <c r="AA189" s="37"/>
      <c r="AB189" s="37"/>
      <c r="AC189" s="37"/>
      <c r="AD189" s="39"/>
      <c r="AE189" s="46" t="str">
        <f>IF(COUNTA(A189:AD189)=0,"",IF(OR(H189="Povučeno",H189="Odbijeno",H189="Obustavljeno"),"Nije aktivno",IF(W189="","Nije određen",IF(OR(NOT(ISNUMBER(W189)),W189&lt;36526,W189&gt;73050),"Proveriti datum",IF(W189&lt;Pregled!$B$7,"Kasni",IF(W189&lt;=Pregled!$B$7+Pregled!$F$7,"Uskoro","U roku"))))))</f>
        <v/>
      </c>
      <c r="AF189" s="46" t="str">
        <f>IF(COUNTA(A189:AD189)=0,"",IF(A189="","Nedostaje ID",IF(COUNTIFS($A$8:$A$207,A189)&gt;1,"Duplikat ID",IF(OR(B189="",E189="",G189="",COUNTIF(Liste!$B$7:$B$13,H189)=0),"Dopuniti osnovno","Popunjeno"))))</f>
        <v/>
      </c>
      <c r="AG189" s="46" t="str">
        <f>IF(COUNTA(A189:AD189)=0,"",IF(NOT(OR(H189="Pilot",H189="Uslovno odobreno",H189="Odobreno")),"Nije aktivna odluka",IF(OR(K189="",N189="",O189="",P189="",Q189="",R189="",S189="",T189="",U189="",V189="",W189="",X189=""),"Dopuniti evidenciju",IF(OR(NOT(ISNUMBER(V189)),NOT(ISNUMBER(W189))),"Proveriti datume",IF(OR(V189&lt;36526,V189&gt;73050,W189&lt;36526,W189&gt;73050,V189&gt;Pregled!$B$7,W189&lt;V189),"Proveriti datume","Evidentirano")))))</f>
        <v/>
      </c>
      <c r="AH189" s="47" t="str">
        <f>IF(AND(Z189="Da",AA189&lt;&gt;"",AB189&lt;&gt;"",AC189&lt;&gt;"",ISNUMBER(AD189),AD189&gt;=36526,AD189&lt;=73050,AD189&lt;=Pregled!$B$7,AF189="Popunjeno",AG189="Evidentirano",OR(H189="Pilot",H189="Uslovno odobreno",H189="Odobreno")),COUNT($AH$7:AH188)+1,"")</f>
        <v/>
      </c>
    </row>
    <row r="190" ht="54.0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9"/>
      <c r="W190" s="39"/>
      <c r="X190" s="37"/>
      <c r="Y190" s="37"/>
      <c r="Z190" s="37"/>
      <c r="AA190" s="37"/>
      <c r="AB190" s="37"/>
      <c r="AC190" s="37"/>
      <c r="AD190" s="39"/>
      <c r="AE190" s="46" t="str">
        <f>IF(COUNTA(A190:AD190)=0,"",IF(OR(H190="Povučeno",H190="Odbijeno",H190="Obustavljeno"),"Nije aktivno",IF(W190="","Nije određen",IF(OR(NOT(ISNUMBER(W190)),W190&lt;36526,W190&gt;73050),"Proveriti datum",IF(W190&lt;Pregled!$B$7,"Kasni",IF(W190&lt;=Pregled!$B$7+Pregled!$F$7,"Uskoro","U roku"))))))</f>
        <v/>
      </c>
      <c r="AF190" s="46" t="str">
        <f>IF(COUNTA(A190:AD190)=0,"",IF(A190="","Nedostaje ID",IF(COUNTIFS($A$8:$A$207,A190)&gt;1,"Duplikat ID",IF(OR(B190="",E190="",G190="",COUNTIF(Liste!$B$7:$B$13,H190)=0),"Dopuniti osnovno","Popunjeno"))))</f>
        <v/>
      </c>
      <c r="AG190" s="46" t="str">
        <f>IF(COUNTA(A190:AD190)=0,"",IF(NOT(OR(H190="Pilot",H190="Uslovno odobreno",H190="Odobreno")),"Nije aktivna odluka",IF(OR(K190="",N190="",O190="",P190="",Q190="",R190="",S190="",T190="",U190="",V190="",W190="",X190=""),"Dopuniti evidenciju",IF(OR(NOT(ISNUMBER(V190)),NOT(ISNUMBER(W190))),"Proveriti datume",IF(OR(V190&lt;36526,V190&gt;73050,W190&lt;36526,W190&gt;73050,V190&gt;Pregled!$B$7,W190&lt;V190),"Proveriti datume","Evidentirano")))))</f>
        <v/>
      </c>
      <c r="AH190" s="47" t="str">
        <f>IF(AND(Z190="Da",AA190&lt;&gt;"",AB190&lt;&gt;"",AC190&lt;&gt;"",ISNUMBER(AD190),AD190&gt;=36526,AD190&lt;=73050,AD190&lt;=Pregled!$B$7,AF190="Popunjeno",AG190="Evidentirano",OR(H190="Pilot",H190="Uslovno odobreno",H190="Odobreno")),COUNT($AH$7:AH189)+1,"")</f>
        <v/>
      </c>
    </row>
    <row r="191" ht="54.0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9"/>
      <c r="W191" s="39"/>
      <c r="X191" s="37"/>
      <c r="Y191" s="37"/>
      <c r="Z191" s="37"/>
      <c r="AA191" s="37"/>
      <c r="AB191" s="37"/>
      <c r="AC191" s="37"/>
      <c r="AD191" s="39"/>
      <c r="AE191" s="46" t="str">
        <f>IF(COUNTA(A191:AD191)=0,"",IF(OR(H191="Povučeno",H191="Odbijeno",H191="Obustavljeno"),"Nije aktivno",IF(W191="","Nije određen",IF(OR(NOT(ISNUMBER(W191)),W191&lt;36526,W191&gt;73050),"Proveriti datum",IF(W191&lt;Pregled!$B$7,"Kasni",IF(W191&lt;=Pregled!$B$7+Pregled!$F$7,"Uskoro","U roku"))))))</f>
        <v/>
      </c>
      <c r="AF191" s="46" t="str">
        <f>IF(COUNTA(A191:AD191)=0,"",IF(A191="","Nedostaje ID",IF(COUNTIFS($A$8:$A$207,A191)&gt;1,"Duplikat ID",IF(OR(B191="",E191="",G191="",COUNTIF(Liste!$B$7:$B$13,H191)=0),"Dopuniti osnovno","Popunjeno"))))</f>
        <v/>
      </c>
      <c r="AG191" s="46" t="str">
        <f>IF(COUNTA(A191:AD191)=0,"",IF(NOT(OR(H191="Pilot",H191="Uslovno odobreno",H191="Odobreno")),"Nije aktivna odluka",IF(OR(K191="",N191="",O191="",P191="",Q191="",R191="",S191="",T191="",U191="",V191="",W191="",X191=""),"Dopuniti evidenciju",IF(OR(NOT(ISNUMBER(V191)),NOT(ISNUMBER(W191))),"Proveriti datume",IF(OR(V191&lt;36526,V191&gt;73050,W191&lt;36526,W191&gt;73050,V191&gt;Pregled!$B$7,W191&lt;V191),"Proveriti datume","Evidentirano")))))</f>
        <v/>
      </c>
      <c r="AH191" s="47" t="str">
        <f>IF(AND(Z191="Da",AA191&lt;&gt;"",AB191&lt;&gt;"",AC191&lt;&gt;"",ISNUMBER(AD191),AD191&gt;=36526,AD191&lt;=73050,AD191&lt;=Pregled!$B$7,AF191="Popunjeno",AG191="Evidentirano",OR(H191="Pilot",H191="Uslovno odobreno",H191="Odobreno")),COUNT($AH$7:AH190)+1,"")</f>
        <v/>
      </c>
    </row>
    <row r="192" ht="54.0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9"/>
      <c r="W192" s="39"/>
      <c r="X192" s="37"/>
      <c r="Y192" s="37"/>
      <c r="Z192" s="37"/>
      <c r="AA192" s="37"/>
      <c r="AB192" s="37"/>
      <c r="AC192" s="37"/>
      <c r="AD192" s="39"/>
      <c r="AE192" s="46" t="str">
        <f>IF(COUNTA(A192:AD192)=0,"",IF(OR(H192="Povučeno",H192="Odbijeno",H192="Obustavljeno"),"Nije aktivno",IF(W192="","Nije određen",IF(OR(NOT(ISNUMBER(W192)),W192&lt;36526,W192&gt;73050),"Proveriti datum",IF(W192&lt;Pregled!$B$7,"Kasni",IF(W192&lt;=Pregled!$B$7+Pregled!$F$7,"Uskoro","U roku"))))))</f>
        <v/>
      </c>
      <c r="AF192" s="46" t="str">
        <f>IF(COUNTA(A192:AD192)=0,"",IF(A192="","Nedostaje ID",IF(COUNTIFS($A$8:$A$207,A192)&gt;1,"Duplikat ID",IF(OR(B192="",E192="",G192="",COUNTIF(Liste!$B$7:$B$13,H192)=0),"Dopuniti osnovno","Popunjeno"))))</f>
        <v/>
      </c>
      <c r="AG192" s="46" t="str">
        <f>IF(COUNTA(A192:AD192)=0,"",IF(NOT(OR(H192="Pilot",H192="Uslovno odobreno",H192="Odobreno")),"Nije aktivna odluka",IF(OR(K192="",N192="",O192="",P192="",Q192="",R192="",S192="",T192="",U192="",V192="",W192="",X192=""),"Dopuniti evidenciju",IF(OR(NOT(ISNUMBER(V192)),NOT(ISNUMBER(W192))),"Proveriti datume",IF(OR(V192&lt;36526,V192&gt;73050,W192&lt;36526,W192&gt;73050,V192&gt;Pregled!$B$7,W192&lt;V192),"Proveriti datume","Evidentirano")))))</f>
        <v/>
      </c>
      <c r="AH192" s="47" t="str">
        <f>IF(AND(Z192="Da",AA192&lt;&gt;"",AB192&lt;&gt;"",AC192&lt;&gt;"",ISNUMBER(AD192),AD192&gt;=36526,AD192&lt;=73050,AD192&lt;=Pregled!$B$7,AF192="Popunjeno",AG192="Evidentirano",OR(H192="Pilot",H192="Uslovno odobreno",H192="Odobreno")),COUNT($AH$7:AH191)+1,"")</f>
        <v/>
      </c>
    </row>
    <row r="193" ht="54.0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9"/>
      <c r="W193" s="39"/>
      <c r="X193" s="37"/>
      <c r="Y193" s="37"/>
      <c r="Z193" s="37"/>
      <c r="AA193" s="37"/>
      <c r="AB193" s="37"/>
      <c r="AC193" s="37"/>
      <c r="AD193" s="39"/>
      <c r="AE193" s="46" t="str">
        <f>IF(COUNTA(A193:AD193)=0,"",IF(OR(H193="Povučeno",H193="Odbijeno",H193="Obustavljeno"),"Nije aktivno",IF(W193="","Nije određen",IF(OR(NOT(ISNUMBER(W193)),W193&lt;36526,W193&gt;73050),"Proveriti datum",IF(W193&lt;Pregled!$B$7,"Kasni",IF(W193&lt;=Pregled!$B$7+Pregled!$F$7,"Uskoro","U roku"))))))</f>
        <v/>
      </c>
      <c r="AF193" s="46" t="str">
        <f>IF(COUNTA(A193:AD193)=0,"",IF(A193="","Nedostaje ID",IF(COUNTIFS($A$8:$A$207,A193)&gt;1,"Duplikat ID",IF(OR(B193="",E193="",G193="",COUNTIF(Liste!$B$7:$B$13,H193)=0),"Dopuniti osnovno","Popunjeno"))))</f>
        <v/>
      </c>
      <c r="AG193" s="46" t="str">
        <f>IF(COUNTA(A193:AD193)=0,"",IF(NOT(OR(H193="Pilot",H193="Uslovno odobreno",H193="Odobreno")),"Nije aktivna odluka",IF(OR(K193="",N193="",O193="",P193="",Q193="",R193="",S193="",T193="",U193="",V193="",W193="",X193=""),"Dopuniti evidenciju",IF(OR(NOT(ISNUMBER(V193)),NOT(ISNUMBER(W193))),"Proveriti datume",IF(OR(V193&lt;36526,V193&gt;73050,W193&lt;36526,W193&gt;73050,V193&gt;Pregled!$B$7,W193&lt;V193),"Proveriti datume","Evidentirano")))))</f>
        <v/>
      </c>
      <c r="AH193" s="47" t="str">
        <f>IF(AND(Z193="Da",AA193&lt;&gt;"",AB193&lt;&gt;"",AC193&lt;&gt;"",ISNUMBER(AD193),AD193&gt;=36526,AD193&lt;=73050,AD193&lt;=Pregled!$B$7,AF193="Popunjeno",AG193="Evidentirano",OR(H193="Pilot",H193="Uslovno odobreno",H193="Odobreno")),COUNT($AH$7:AH192)+1,"")</f>
        <v/>
      </c>
    </row>
    <row r="194" ht="54.0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9"/>
      <c r="W194" s="39"/>
      <c r="X194" s="37"/>
      <c r="Y194" s="37"/>
      <c r="Z194" s="37"/>
      <c r="AA194" s="37"/>
      <c r="AB194" s="37"/>
      <c r="AC194" s="37"/>
      <c r="AD194" s="39"/>
      <c r="AE194" s="46" t="str">
        <f>IF(COUNTA(A194:AD194)=0,"",IF(OR(H194="Povučeno",H194="Odbijeno",H194="Obustavljeno"),"Nije aktivno",IF(W194="","Nije određen",IF(OR(NOT(ISNUMBER(W194)),W194&lt;36526,W194&gt;73050),"Proveriti datum",IF(W194&lt;Pregled!$B$7,"Kasni",IF(W194&lt;=Pregled!$B$7+Pregled!$F$7,"Uskoro","U roku"))))))</f>
        <v/>
      </c>
      <c r="AF194" s="46" t="str">
        <f>IF(COUNTA(A194:AD194)=0,"",IF(A194="","Nedostaje ID",IF(COUNTIFS($A$8:$A$207,A194)&gt;1,"Duplikat ID",IF(OR(B194="",E194="",G194="",COUNTIF(Liste!$B$7:$B$13,H194)=0),"Dopuniti osnovno","Popunjeno"))))</f>
        <v/>
      </c>
      <c r="AG194" s="46" t="str">
        <f>IF(COUNTA(A194:AD194)=0,"",IF(NOT(OR(H194="Pilot",H194="Uslovno odobreno",H194="Odobreno")),"Nije aktivna odluka",IF(OR(K194="",N194="",O194="",P194="",Q194="",R194="",S194="",T194="",U194="",V194="",W194="",X194=""),"Dopuniti evidenciju",IF(OR(NOT(ISNUMBER(V194)),NOT(ISNUMBER(W194))),"Proveriti datume",IF(OR(V194&lt;36526,V194&gt;73050,W194&lt;36526,W194&gt;73050,V194&gt;Pregled!$B$7,W194&lt;V194),"Proveriti datume","Evidentirano")))))</f>
        <v/>
      </c>
      <c r="AH194" s="47" t="str">
        <f>IF(AND(Z194="Da",AA194&lt;&gt;"",AB194&lt;&gt;"",AC194&lt;&gt;"",ISNUMBER(AD194),AD194&gt;=36526,AD194&lt;=73050,AD194&lt;=Pregled!$B$7,AF194="Popunjeno",AG194="Evidentirano",OR(H194="Pilot",H194="Uslovno odobreno",H194="Odobreno")),COUNT($AH$7:AH193)+1,"")</f>
        <v/>
      </c>
    </row>
    <row r="195" ht="54.0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9"/>
      <c r="W195" s="39"/>
      <c r="X195" s="37"/>
      <c r="Y195" s="37"/>
      <c r="Z195" s="37"/>
      <c r="AA195" s="37"/>
      <c r="AB195" s="37"/>
      <c r="AC195" s="37"/>
      <c r="AD195" s="39"/>
      <c r="AE195" s="46" t="str">
        <f>IF(COUNTA(A195:AD195)=0,"",IF(OR(H195="Povučeno",H195="Odbijeno",H195="Obustavljeno"),"Nije aktivno",IF(W195="","Nije određen",IF(OR(NOT(ISNUMBER(W195)),W195&lt;36526,W195&gt;73050),"Proveriti datum",IF(W195&lt;Pregled!$B$7,"Kasni",IF(W195&lt;=Pregled!$B$7+Pregled!$F$7,"Uskoro","U roku"))))))</f>
        <v/>
      </c>
      <c r="AF195" s="46" t="str">
        <f>IF(COUNTA(A195:AD195)=0,"",IF(A195="","Nedostaje ID",IF(COUNTIFS($A$8:$A$207,A195)&gt;1,"Duplikat ID",IF(OR(B195="",E195="",G195="",COUNTIF(Liste!$B$7:$B$13,H195)=0),"Dopuniti osnovno","Popunjeno"))))</f>
        <v/>
      </c>
      <c r="AG195" s="46" t="str">
        <f>IF(COUNTA(A195:AD195)=0,"",IF(NOT(OR(H195="Pilot",H195="Uslovno odobreno",H195="Odobreno")),"Nije aktivna odluka",IF(OR(K195="",N195="",O195="",P195="",Q195="",R195="",S195="",T195="",U195="",V195="",W195="",X195=""),"Dopuniti evidenciju",IF(OR(NOT(ISNUMBER(V195)),NOT(ISNUMBER(W195))),"Proveriti datume",IF(OR(V195&lt;36526,V195&gt;73050,W195&lt;36526,W195&gt;73050,V195&gt;Pregled!$B$7,W195&lt;V195),"Proveriti datume","Evidentirano")))))</f>
        <v/>
      </c>
      <c r="AH195" s="47" t="str">
        <f>IF(AND(Z195="Da",AA195&lt;&gt;"",AB195&lt;&gt;"",AC195&lt;&gt;"",ISNUMBER(AD195),AD195&gt;=36526,AD195&lt;=73050,AD195&lt;=Pregled!$B$7,AF195="Popunjeno",AG195="Evidentirano",OR(H195="Pilot",H195="Uslovno odobreno",H195="Odobreno")),COUNT($AH$7:AH194)+1,"")</f>
        <v/>
      </c>
    </row>
    <row r="196" ht="54.0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9"/>
      <c r="W196" s="39"/>
      <c r="X196" s="37"/>
      <c r="Y196" s="37"/>
      <c r="Z196" s="37"/>
      <c r="AA196" s="37"/>
      <c r="AB196" s="37"/>
      <c r="AC196" s="37"/>
      <c r="AD196" s="39"/>
      <c r="AE196" s="46" t="str">
        <f>IF(COUNTA(A196:AD196)=0,"",IF(OR(H196="Povučeno",H196="Odbijeno",H196="Obustavljeno"),"Nije aktivno",IF(W196="","Nije određen",IF(OR(NOT(ISNUMBER(W196)),W196&lt;36526,W196&gt;73050),"Proveriti datum",IF(W196&lt;Pregled!$B$7,"Kasni",IF(W196&lt;=Pregled!$B$7+Pregled!$F$7,"Uskoro","U roku"))))))</f>
        <v/>
      </c>
      <c r="AF196" s="46" t="str">
        <f>IF(COUNTA(A196:AD196)=0,"",IF(A196="","Nedostaje ID",IF(COUNTIFS($A$8:$A$207,A196)&gt;1,"Duplikat ID",IF(OR(B196="",E196="",G196="",COUNTIF(Liste!$B$7:$B$13,H196)=0),"Dopuniti osnovno","Popunjeno"))))</f>
        <v/>
      </c>
      <c r="AG196" s="46" t="str">
        <f>IF(COUNTA(A196:AD196)=0,"",IF(NOT(OR(H196="Pilot",H196="Uslovno odobreno",H196="Odobreno")),"Nije aktivna odluka",IF(OR(K196="",N196="",O196="",P196="",Q196="",R196="",S196="",T196="",U196="",V196="",W196="",X196=""),"Dopuniti evidenciju",IF(OR(NOT(ISNUMBER(V196)),NOT(ISNUMBER(W196))),"Proveriti datume",IF(OR(V196&lt;36526,V196&gt;73050,W196&lt;36526,W196&gt;73050,V196&gt;Pregled!$B$7,W196&lt;V196),"Proveriti datume","Evidentirano")))))</f>
        <v/>
      </c>
      <c r="AH196" s="47" t="str">
        <f>IF(AND(Z196="Da",AA196&lt;&gt;"",AB196&lt;&gt;"",AC196&lt;&gt;"",ISNUMBER(AD196),AD196&gt;=36526,AD196&lt;=73050,AD196&lt;=Pregled!$B$7,AF196="Popunjeno",AG196="Evidentirano",OR(H196="Pilot",H196="Uslovno odobreno",H196="Odobreno")),COUNT($AH$7:AH195)+1,"")</f>
        <v/>
      </c>
    </row>
    <row r="197" ht="54.0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9"/>
      <c r="W197" s="39"/>
      <c r="X197" s="37"/>
      <c r="Y197" s="37"/>
      <c r="Z197" s="37"/>
      <c r="AA197" s="37"/>
      <c r="AB197" s="37"/>
      <c r="AC197" s="37"/>
      <c r="AD197" s="39"/>
      <c r="AE197" s="46" t="str">
        <f>IF(COUNTA(A197:AD197)=0,"",IF(OR(H197="Povučeno",H197="Odbijeno",H197="Obustavljeno"),"Nije aktivno",IF(W197="","Nije određen",IF(OR(NOT(ISNUMBER(W197)),W197&lt;36526,W197&gt;73050),"Proveriti datum",IF(W197&lt;Pregled!$B$7,"Kasni",IF(W197&lt;=Pregled!$B$7+Pregled!$F$7,"Uskoro","U roku"))))))</f>
        <v/>
      </c>
      <c r="AF197" s="46" t="str">
        <f>IF(COUNTA(A197:AD197)=0,"",IF(A197="","Nedostaje ID",IF(COUNTIFS($A$8:$A$207,A197)&gt;1,"Duplikat ID",IF(OR(B197="",E197="",G197="",COUNTIF(Liste!$B$7:$B$13,H197)=0),"Dopuniti osnovno","Popunjeno"))))</f>
        <v/>
      </c>
      <c r="AG197" s="46" t="str">
        <f>IF(COUNTA(A197:AD197)=0,"",IF(NOT(OR(H197="Pilot",H197="Uslovno odobreno",H197="Odobreno")),"Nije aktivna odluka",IF(OR(K197="",N197="",O197="",P197="",Q197="",R197="",S197="",T197="",U197="",V197="",W197="",X197=""),"Dopuniti evidenciju",IF(OR(NOT(ISNUMBER(V197)),NOT(ISNUMBER(W197))),"Proveriti datume",IF(OR(V197&lt;36526,V197&gt;73050,W197&lt;36526,W197&gt;73050,V197&gt;Pregled!$B$7,W197&lt;V197),"Proveriti datume","Evidentirano")))))</f>
        <v/>
      </c>
      <c r="AH197" s="47" t="str">
        <f>IF(AND(Z197="Da",AA197&lt;&gt;"",AB197&lt;&gt;"",AC197&lt;&gt;"",ISNUMBER(AD197),AD197&gt;=36526,AD197&lt;=73050,AD197&lt;=Pregled!$B$7,AF197="Popunjeno",AG197="Evidentirano",OR(H197="Pilot",H197="Uslovno odobreno",H197="Odobreno")),COUNT($AH$7:AH196)+1,"")</f>
        <v/>
      </c>
    </row>
    <row r="198" ht="54.0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9"/>
      <c r="W198" s="39"/>
      <c r="X198" s="37"/>
      <c r="Y198" s="37"/>
      <c r="Z198" s="37"/>
      <c r="AA198" s="37"/>
      <c r="AB198" s="37"/>
      <c r="AC198" s="37"/>
      <c r="AD198" s="39"/>
      <c r="AE198" s="46" t="str">
        <f>IF(COUNTA(A198:AD198)=0,"",IF(OR(H198="Povučeno",H198="Odbijeno",H198="Obustavljeno"),"Nije aktivno",IF(W198="","Nije određen",IF(OR(NOT(ISNUMBER(W198)),W198&lt;36526,W198&gt;73050),"Proveriti datum",IF(W198&lt;Pregled!$B$7,"Kasni",IF(W198&lt;=Pregled!$B$7+Pregled!$F$7,"Uskoro","U roku"))))))</f>
        <v/>
      </c>
      <c r="AF198" s="46" t="str">
        <f>IF(COUNTA(A198:AD198)=0,"",IF(A198="","Nedostaje ID",IF(COUNTIFS($A$8:$A$207,A198)&gt;1,"Duplikat ID",IF(OR(B198="",E198="",G198="",COUNTIF(Liste!$B$7:$B$13,H198)=0),"Dopuniti osnovno","Popunjeno"))))</f>
        <v/>
      </c>
      <c r="AG198" s="46" t="str">
        <f>IF(COUNTA(A198:AD198)=0,"",IF(NOT(OR(H198="Pilot",H198="Uslovno odobreno",H198="Odobreno")),"Nije aktivna odluka",IF(OR(K198="",N198="",O198="",P198="",Q198="",R198="",S198="",T198="",U198="",V198="",W198="",X198=""),"Dopuniti evidenciju",IF(OR(NOT(ISNUMBER(V198)),NOT(ISNUMBER(W198))),"Proveriti datume",IF(OR(V198&lt;36526,V198&gt;73050,W198&lt;36526,W198&gt;73050,V198&gt;Pregled!$B$7,W198&lt;V198),"Proveriti datume","Evidentirano")))))</f>
        <v/>
      </c>
      <c r="AH198" s="47" t="str">
        <f>IF(AND(Z198="Da",AA198&lt;&gt;"",AB198&lt;&gt;"",AC198&lt;&gt;"",ISNUMBER(AD198),AD198&gt;=36526,AD198&lt;=73050,AD198&lt;=Pregled!$B$7,AF198="Popunjeno",AG198="Evidentirano",OR(H198="Pilot",H198="Uslovno odobreno",H198="Odobreno")),COUNT($AH$7:AH197)+1,"")</f>
        <v/>
      </c>
    </row>
    <row r="199" ht="54.0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9"/>
      <c r="W199" s="39"/>
      <c r="X199" s="37"/>
      <c r="Y199" s="37"/>
      <c r="Z199" s="37"/>
      <c r="AA199" s="37"/>
      <c r="AB199" s="37"/>
      <c r="AC199" s="37"/>
      <c r="AD199" s="39"/>
      <c r="AE199" s="46" t="str">
        <f>IF(COUNTA(A199:AD199)=0,"",IF(OR(H199="Povučeno",H199="Odbijeno",H199="Obustavljeno"),"Nije aktivno",IF(W199="","Nije određen",IF(OR(NOT(ISNUMBER(W199)),W199&lt;36526,W199&gt;73050),"Proveriti datum",IF(W199&lt;Pregled!$B$7,"Kasni",IF(W199&lt;=Pregled!$B$7+Pregled!$F$7,"Uskoro","U roku"))))))</f>
        <v/>
      </c>
      <c r="AF199" s="46" t="str">
        <f>IF(COUNTA(A199:AD199)=0,"",IF(A199="","Nedostaje ID",IF(COUNTIFS($A$8:$A$207,A199)&gt;1,"Duplikat ID",IF(OR(B199="",E199="",G199="",COUNTIF(Liste!$B$7:$B$13,H199)=0),"Dopuniti osnovno","Popunjeno"))))</f>
        <v/>
      </c>
      <c r="AG199" s="46" t="str">
        <f>IF(COUNTA(A199:AD199)=0,"",IF(NOT(OR(H199="Pilot",H199="Uslovno odobreno",H199="Odobreno")),"Nije aktivna odluka",IF(OR(K199="",N199="",O199="",P199="",Q199="",R199="",S199="",T199="",U199="",V199="",W199="",X199=""),"Dopuniti evidenciju",IF(OR(NOT(ISNUMBER(V199)),NOT(ISNUMBER(W199))),"Proveriti datume",IF(OR(V199&lt;36526,V199&gt;73050,W199&lt;36526,W199&gt;73050,V199&gt;Pregled!$B$7,W199&lt;V199),"Proveriti datume","Evidentirano")))))</f>
        <v/>
      </c>
      <c r="AH199" s="47" t="str">
        <f>IF(AND(Z199="Da",AA199&lt;&gt;"",AB199&lt;&gt;"",AC199&lt;&gt;"",ISNUMBER(AD199),AD199&gt;=36526,AD199&lt;=73050,AD199&lt;=Pregled!$B$7,AF199="Popunjeno",AG199="Evidentirano",OR(H199="Pilot",H199="Uslovno odobreno",H199="Odobreno")),COUNT($AH$7:AH198)+1,"")</f>
        <v/>
      </c>
    </row>
    <row r="200" ht="54.0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9"/>
      <c r="W200" s="39"/>
      <c r="X200" s="37"/>
      <c r="Y200" s="37"/>
      <c r="Z200" s="37"/>
      <c r="AA200" s="37"/>
      <c r="AB200" s="37"/>
      <c r="AC200" s="37"/>
      <c r="AD200" s="39"/>
      <c r="AE200" s="46" t="str">
        <f>IF(COUNTA(A200:AD200)=0,"",IF(OR(H200="Povučeno",H200="Odbijeno",H200="Obustavljeno"),"Nije aktivno",IF(W200="","Nije određen",IF(OR(NOT(ISNUMBER(W200)),W200&lt;36526,W200&gt;73050),"Proveriti datum",IF(W200&lt;Pregled!$B$7,"Kasni",IF(W200&lt;=Pregled!$B$7+Pregled!$F$7,"Uskoro","U roku"))))))</f>
        <v/>
      </c>
      <c r="AF200" s="46" t="str">
        <f>IF(COUNTA(A200:AD200)=0,"",IF(A200="","Nedostaje ID",IF(COUNTIFS($A$8:$A$207,A200)&gt;1,"Duplikat ID",IF(OR(B200="",E200="",G200="",COUNTIF(Liste!$B$7:$B$13,H200)=0),"Dopuniti osnovno","Popunjeno"))))</f>
        <v/>
      </c>
      <c r="AG200" s="46" t="str">
        <f>IF(COUNTA(A200:AD200)=0,"",IF(NOT(OR(H200="Pilot",H200="Uslovno odobreno",H200="Odobreno")),"Nije aktivna odluka",IF(OR(K200="",N200="",O200="",P200="",Q200="",R200="",S200="",T200="",U200="",V200="",W200="",X200=""),"Dopuniti evidenciju",IF(OR(NOT(ISNUMBER(V200)),NOT(ISNUMBER(W200))),"Proveriti datume",IF(OR(V200&lt;36526,V200&gt;73050,W200&lt;36526,W200&gt;73050,V200&gt;Pregled!$B$7,W200&lt;V200),"Proveriti datume","Evidentirano")))))</f>
        <v/>
      </c>
      <c r="AH200" s="47" t="str">
        <f>IF(AND(Z200="Da",AA200&lt;&gt;"",AB200&lt;&gt;"",AC200&lt;&gt;"",ISNUMBER(AD200),AD200&gt;=36526,AD200&lt;=73050,AD200&lt;=Pregled!$B$7,AF200="Popunjeno",AG200="Evidentirano",OR(H200="Pilot",H200="Uslovno odobreno",H200="Odobreno")),COUNT($AH$7:AH199)+1,"")</f>
        <v/>
      </c>
    </row>
    <row r="201" ht="54.0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9"/>
      <c r="W201" s="39"/>
      <c r="X201" s="37"/>
      <c r="Y201" s="37"/>
      <c r="Z201" s="37"/>
      <c r="AA201" s="37"/>
      <c r="AB201" s="37"/>
      <c r="AC201" s="37"/>
      <c r="AD201" s="39"/>
      <c r="AE201" s="46" t="str">
        <f>IF(COUNTA(A201:AD201)=0,"",IF(OR(H201="Povučeno",H201="Odbijeno",H201="Obustavljeno"),"Nije aktivno",IF(W201="","Nije određen",IF(OR(NOT(ISNUMBER(W201)),W201&lt;36526,W201&gt;73050),"Proveriti datum",IF(W201&lt;Pregled!$B$7,"Kasni",IF(W201&lt;=Pregled!$B$7+Pregled!$F$7,"Uskoro","U roku"))))))</f>
        <v/>
      </c>
      <c r="AF201" s="46" t="str">
        <f>IF(COUNTA(A201:AD201)=0,"",IF(A201="","Nedostaje ID",IF(COUNTIFS($A$8:$A$207,A201)&gt;1,"Duplikat ID",IF(OR(B201="",E201="",G201="",COUNTIF(Liste!$B$7:$B$13,H201)=0),"Dopuniti osnovno","Popunjeno"))))</f>
        <v/>
      </c>
      <c r="AG201" s="46" t="str">
        <f>IF(COUNTA(A201:AD201)=0,"",IF(NOT(OR(H201="Pilot",H201="Uslovno odobreno",H201="Odobreno")),"Nije aktivna odluka",IF(OR(K201="",N201="",O201="",P201="",Q201="",R201="",S201="",T201="",U201="",V201="",W201="",X201=""),"Dopuniti evidenciju",IF(OR(NOT(ISNUMBER(V201)),NOT(ISNUMBER(W201))),"Proveriti datume",IF(OR(V201&lt;36526,V201&gt;73050,W201&lt;36526,W201&gt;73050,V201&gt;Pregled!$B$7,W201&lt;V201),"Proveriti datume","Evidentirano")))))</f>
        <v/>
      </c>
      <c r="AH201" s="47" t="str">
        <f>IF(AND(Z201="Da",AA201&lt;&gt;"",AB201&lt;&gt;"",AC201&lt;&gt;"",ISNUMBER(AD201),AD201&gt;=36526,AD201&lt;=73050,AD201&lt;=Pregled!$B$7,AF201="Popunjeno",AG201="Evidentirano",OR(H201="Pilot",H201="Uslovno odobreno",H201="Odobreno")),COUNT($AH$7:AH200)+1,"")</f>
        <v/>
      </c>
    </row>
    <row r="202" ht="54.0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9"/>
      <c r="W202" s="39"/>
      <c r="X202" s="37"/>
      <c r="Y202" s="37"/>
      <c r="Z202" s="37"/>
      <c r="AA202" s="37"/>
      <c r="AB202" s="37"/>
      <c r="AC202" s="37"/>
      <c r="AD202" s="39"/>
      <c r="AE202" s="46" t="str">
        <f>IF(COUNTA(A202:AD202)=0,"",IF(OR(H202="Povučeno",H202="Odbijeno",H202="Obustavljeno"),"Nije aktivno",IF(W202="","Nije određen",IF(OR(NOT(ISNUMBER(W202)),W202&lt;36526,W202&gt;73050),"Proveriti datum",IF(W202&lt;Pregled!$B$7,"Kasni",IF(W202&lt;=Pregled!$B$7+Pregled!$F$7,"Uskoro","U roku"))))))</f>
        <v/>
      </c>
      <c r="AF202" s="46" t="str">
        <f>IF(COUNTA(A202:AD202)=0,"",IF(A202="","Nedostaje ID",IF(COUNTIFS($A$8:$A$207,A202)&gt;1,"Duplikat ID",IF(OR(B202="",E202="",G202="",COUNTIF(Liste!$B$7:$B$13,H202)=0),"Dopuniti osnovno","Popunjeno"))))</f>
        <v/>
      </c>
      <c r="AG202" s="46" t="str">
        <f>IF(COUNTA(A202:AD202)=0,"",IF(NOT(OR(H202="Pilot",H202="Uslovno odobreno",H202="Odobreno")),"Nije aktivna odluka",IF(OR(K202="",N202="",O202="",P202="",Q202="",R202="",S202="",T202="",U202="",V202="",W202="",X202=""),"Dopuniti evidenciju",IF(OR(NOT(ISNUMBER(V202)),NOT(ISNUMBER(W202))),"Proveriti datume",IF(OR(V202&lt;36526,V202&gt;73050,W202&lt;36526,W202&gt;73050,V202&gt;Pregled!$B$7,W202&lt;V202),"Proveriti datume","Evidentirano")))))</f>
        <v/>
      </c>
      <c r="AH202" s="47" t="str">
        <f>IF(AND(Z202="Da",AA202&lt;&gt;"",AB202&lt;&gt;"",AC202&lt;&gt;"",ISNUMBER(AD202),AD202&gt;=36526,AD202&lt;=73050,AD202&lt;=Pregled!$B$7,AF202="Popunjeno",AG202="Evidentirano",OR(H202="Pilot",H202="Uslovno odobreno",H202="Odobreno")),COUNT($AH$7:AH201)+1,"")</f>
        <v/>
      </c>
    </row>
    <row r="203" ht="54.0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9"/>
      <c r="W203" s="39"/>
      <c r="X203" s="37"/>
      <c r="Y203" s="37"/>
      <c r="Z203" s="37"/>
      <c r="AA203" s="37"/>
      <c r="AB203" s="37"/>
      <c r="AC203" s="37"/>
      <c r="AD203" s="39"/>
      <c r="AE203" s="46" t="str">
        <f>IF(COUNTA(A203:AD203)=0,"",IF(OR(H203="Povučeno",H203="Odbijeno",H203="Obustavljeno"),"Nije aktivno",IF(W203="","Nije određen",IF(OR(NOT(ISNUMBER(W203)),W203&lt;36526,W203&gt;73050),"Proveriti datum",IF(W203&lt;Pregled!$B$7,"Kasni",IF(W203&lt;=Pregled!$B$7+Pregled!$F$7,"Uskoro","U roku"))))))</f>
        <v/>
      </c>
      <c r="AF203" s="46" t="str">
        <f>IF(COUNTA(A203:AD203)=0,"",IF(A203="","Nedostaje ID",IF(COUNTIFS($A$8:$A$207,A203)&gt;1,"Duplikat ID",IF(OR(B203="",E203="",G203="",COUNTIF(Liste!$B$7:$B$13,H203)=0),"Dopuniti osnovno","Popunjeno"))))</f>
        <v/>
      </c>
      <c r="AG203" s="46" t="str">
        <f>IF(COUNTA(A203:AD203)=0,"",IF(NOT(OR(H203="Pilot",H203="Uslovno odobreno",H203="Odobreno")),"Nije aktivna odluka",IF(OR(K203="",N203="",O203="",P203="",Q203="",R203="",S203="",T203="",U203="",V203="",W203="",X203=""),"Dopuniti evidenciju",IF(OR(NOT(ISNUMBER(V203)),NOT(ISNUMBER(W203))),"Proveriti datume",IF(OR(V203&lt;36526,V203&gt;73050,W203&lt;36526,W203&gt;73050,V203&gt;Pregled!$B$7,W203&lt;V203),"Proveriti datume","Evidentirano")))))</f>
        <v/>
      </c>
      <c r="AH203" s="47" t="str">
        <f>IF(AND(Z203="Da",AA203&lt;&gt;"",AB203&lt;&gt;"",AC203&lt;&gt;"",ISNUMBER(AD203),AD203&gt;=36526,AD203&lt;=73050,AD203&lt;=Pregled!$B$7,AF203="Popunjeno",AG203="Evidentirano",OR(H203="Pilot",H203="Uslovno odobreno",H203="Odobreno")),COUNT($AH$7:AH202)+1,"")</f>
        <v/>
      </c>
    </row>
    <row r="204" ht="54.0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9"/>
      <c r="W204" s="39"/>
      <c r="X204" s="37"/>
      <c r="Y204" s="37"/>
      <c r="Z204" s="37"/>
      <c r="AA204" s="37"/>
      <c r="AB204" s="37"/>
      <c r="AC204" s="37"/>
      <c r="AD204" s="39"/>
      <c r="AE204" s="46" t="str">
        <f>IF(COUNTA(A204:AD204)=0,"",IF(OR(H204="Povučeno",H204="Odbijeno",H204="Obustavljeno"),"Nije aktivno",IF(W204="","Nije određen",IF(OR(NOT(ISNUMBER(W204)),W204&lt;36526,W204&gt;73050),"Proveriti datum",IF(W204&lt;Pregled!$B$7,"Kasni",IF(W204&lt;=Pregled!$B$7+Pregled!$F$7,"Uskoro","U roku"))))))</f>
        <v/>
      </c>
      <c r="AF204" s="46" t="str">
        <f>IF(COUNTA(A204:AD204)=0,"",IF(A204="","Nedostaje ID",IF(COUNTIFS($A$8:$A$207,A204)&gt;1,"Duplikat ID",IF(OR(B204="",E204="",G204="",COUNTIF(Liste!$B$7:$B$13,H204)=0),"Dopuniti osnovno","Popunjeno"))))</f>
        <v/>
      </c>
      <c r="AG204" s="46" t="str">
        <f>IF(COUNTA(A204:AD204)=0,"",IF(NOT(OR(H204="Pilot",H204="Uslovno odobreno",H204="Odobreno")),"Nije aktivna odluka",IF(OR(K204="",N204="",O204="",P204="",Q204="",R204="",S204="",T204="",U204="",V204="",W204="",X204=""),"Dopuniti evidenciju",IF(OR(NOT(ISNUMBER(V204)),NOT(ISNUMBER(W204))),"Proveriti datume",IF(OR(V204&lt;36526,V204&gt;73050,W204&lt;36526,W204&gt;73050,V204&gt;Pregled!$B$7,W204&lt;V204),"Proveriti datume","Evidentirano")))))</f>
        <v/>
      </c>
      <c r="AH204" s="47" t="str">
        <f>IF(AND(Z204="Da",AA204&lt;&gt;"",AB204&lt;&gt;"",AC204&lt;&gt;"",ISNUMBER(AD204),AD204&gt;=36526,AD204&lt;=73050,AD204&lt;=Pregled!$B$7,AF204="Popunjeno",AG204="Evidentirano",OR(H204="Pilot",H204="Uslovno odobreno",H204="Odobreno")),COUNT($AH$7:AH203)+1,"")</f>
        <v/>
      </c>
    </row>
    <row r="205" ht="54.0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9"/>
      <c r="W205" s="39"/>
      <c r="X205" s="37"/>
      <c r="Y205" s="37"/>
      <c r="Z205" s="37"/>
      <c r="AA205" s="37"/>
      <c r="AB205" s="37"/>
      <c r="AC205" s="37"/>
      <c r="AD205" s="39"/>
      <c r="AE205" s="46" t="str">
        <f>IF(COUNTA(A205:AD205)=0,"",IF(OR(H205="Povučeno",H205="Odbijeno",H205="Obustavljeno"),"Nije aktivno",IF(W205="","Nije određen",IF(OR(NOT(ISNUMBER(W205)),W205&lt;36526,W205&gt;73050),"Proveriti datum",IF(W205&lt;Pregled!$B$7,"Kasni",IF(W205&lt;=Pregled!$B$7+Pregled!$F$7,"Uskoro","U roku"))))))</f>
        <v/>
      </c>
      <c r="AF205" s="46" t="str">
        <f>IF(COUNTA(A205:AD205)=0,"",IF(A205="","Nedostaje ID",IF(COUNTIFS($A$8:$A$207,A205)&gt;1,"Duplikat ID",IF(OR(B205="",E205="",G205="",COUNTIF(Liste!$B$7:$B$13,H205)=0),"Dopuniti osnovno","Popunjeno"))))</f>
        <v/>
      </c>
      <c r="AG205" s="46" t="str">
        <f>IF(COUNTA(A205:AD205)=0,"",IF(NOT(OR(H205="Pilot",H205="Uslovno odobreno",H205="Odobreno")),"Nije aktivna odluka",IF(OR(K205="",N205="",O205="",P205="",Q205="",R205="",S205="",T205="",U205="",V205="",W205="",X205=""),"Dopuniti evidenciju",IF(OR(NOT(ISNUMBER(V205)),NOT(ISNUMBER(W205))),"Proveriti datume",IF(OR(V205&lt;36526,V205&gt;73050,W205&lt;36526,W205&gt;73050,V205&gt;Pregled!$B$7,W205&lt;V205),"Proveriti datume","Evidentirano")))))</f>
        <v/>
      </c>
      <c r="AH205" s="47" t="str">
        <f>IF(AND(Z205="Da",AA205&lt;&gt;"",AB205&lt;&gt;"",AC205&lt;&gt;"",ISNUMBER(AD205),AD205&gt;=36526,AD205&lt;=73050,AD205&lt;=Pregled!$B$7,AF205="Popunjeno",AG205="Evidentirano",OR(H205="Pilot",H205="Uslovno odobreno",H205="Odobreno")),COUNT($AH$7:AH204)+1,"")</f>
        <v/>
      </c>
    </row>
    <row r="206" ht="54.0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9"/>
      <c r="W206" s="39"/>
      <c r="X206" s="37"/>
      <c r="Y206" s="37"/>
      <c r="Z206" s="37"/>
      <c r="AA206" s="37"/>
      <c r="AB206" s="37"/>
      <c r="AC206" s="37"/>
      <c r="AD206" s="39"/>
      <c r="AE206" s="46" t="str">
        <f>IF(COUNTA(A206:AD206)=0,"",IF(OR(H206="Povučeno",H206="Odbijeno",H206="Obustavljeno"),"Nije aktivno",IF(W206="","Nije određen",IF(OR(NOT(ISNUMBER(W206)),W206&lt;36526,W206&gt;73050),"Proveriti datum",IF(W206&lt;Pregled!$B$7,"Kasni",IF(W206&lt;=Pregled!$B$7+Pregled!$F$7,"Uskoro","U roku"))))))</f>
        <v/>
      </c>
      <c r="AF206" s="46" t="str">
        <f>IF(COUNTA(A206:AD206)=0,"",IF(A206="","Nedostaje ID",IF(COUNTIFS($A$8:$A$207,A206)&gt;1,"Duplikat ID",IF(OR(B206="",E206="",G206="",COUNTIF(Liste!$B$7:$B$13,H206)=0),"Dopuniti osnovno","Popunjeno"))))</f>
        <v/>
      </c>
      <c r="AG206" s="46" t="str">
        <f>IF(COUNTA(A206:AD206)=0,"",IF(NOT(OR(H206="Pilot",H206="Uslovno odobreno",H206="Odobreno")),"Nije aktivna odluka",IF(OR(K206="",N206="",O206="",P206="",Q206="",R206="",S206="",T206="",U206="",V206="",W206="",X206=""),"Dopuniti evidenciju",IF(OR(NOT(ISNUMBER(V206)),NOT(ISNUMBER(W206))),"Proveriti datume",IF(OR(V206&lt;36526,V206&gt;73050,W206&lt;36526,W206&gt;73050,V206&gt;Pregled!$B$7,W206&lt;V206),"Proveriti datume","Evidentirano")))))</f>
        <v/>
      </c>
      <c r="AH206" s="47" t="str">
        <f>IF(AND(Z206="Da",AA206&lt;&gt;"",AB206&lt;&gt;"",AC206&lt;&gt;"",ISNUMBER(AD206),AD206&gt;=36526,AD206&lt;=73050,AD206&lt;=Pregled!$B$7,AF206="Popunjeno",AG206="Evidentirano",OR(H206="Pilot",H206="Uslovno odobreno",H206="Odobreno")),COUNT($AH$7:AH205)+1,"")</f>
        <v/>
      </c>
    </row>
    <row r="207" ht="54.0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9"/>
      <c r="W207" s="39"/>
      <c r="X207" s="37"/>
      <c r="Y207" s="37"/>
      <c r="Z207" s="37"/>
      <c r="AA207" s="37"/>
      <c r="AB207" s="37"/>
      <c r="AC207" s="37"/>
      <c r="AD207" s="39"/>
      <c r="AE207" s="46" t="str">
        <f>IF(COUNTA(A207:AD207)=0,"",IF(OR(H207="Povučeno",H207="Odbijeno",H207="Obustavljeno"),"Nije aktivno",IF(W207="","Nije određen",IF(OR(NOT(ISNUMBER(W207)),W207&lt;36526,W207&gt;73050),"Proveriti datum",IF(W207&lt;Pregled!$B$7,"Kasni",IF(W207&lt;=Pregled!$B$7+Pregled!$F$7,"Uskoro","U roku"))))))</f>
        <v/>
      </c>
      <c r="AF207" s="46" t="str">
        <f>IF(COUNTA(A207:AD207)=0,"",IF(A207="","Nedostaje ID",IF(COUNTIFS($A$8:$A$207,A207)&gt;1,"Duplikat ID",IF(OR(B207="",E207="",G207="",COUNTIF(Liste!$B$7:$B$13,H207)=0),"Dopuniti osnovno","Popunjeno"))))</f>
        <v/>
      </c>
      <c r="AG207" s="46" t="str">
        <f>IF(COUNTA(A207:AD207)=0,"",IF(NOT(OR(H207="Pilot",H207="Uslovno odobreno",H207="Odobreno")),"Nije aktivna odluka",IF(OR(K207="",N207="",O207="",P207="",Q207="",R207="",S207="",T207="",U207="",V207="",W207="",X207=""),"Dopuniti evidenciju",IF(OR(NOT(ISNUMBER(V207)),NOT(ISNUMBER(W207))),"Proveriti datume",IF(OR(V207&lt;36526,V207&gt;73050,W207&lt;36526,W207&gt;73050,V207&gt;Pregled!$B$7,W207&lt;V207),"Proveriti datume","Evidentirano")))))</f>
        <v/>
      </c>
      <c r="AH207" s="47" t="str">
        <f>IF(AND(Z207="Da",AA207&lt;&gt;"",AB207&lt;&gt;"",AC207&lt;&gt;"",ISNUMBER(AD207),AD207&gt;=36526,AD207&lt;=73050,AD207&lt;=Pregled!$B$7,AF207="Popunjeno",AG207="Evidentirano",OR(H207="Pilot",H207="Uslovno odobreno",H207="Odobreno")),COUNT($AH$7:AH206)+1,"")</f>
        <v/>
      </c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</row>
  </sheetData>
  <customSheetViews>
    <customSheetView guid="{2985AA8E-2024-429E-8D00-15DB29F7A445}" filter="1" showAutoFilter="1">
      <autoFilter ref="$A$7:$AH$207"/>
    </customSheetView>
  </customSheetViews>
  <mergeCells count="7">
    <mergeCell ref="A2:H3"/>
    <mergeCell ref="A4:H4"/>
    <mergeCell ref="A6:H6"/>
    <mergeCell ref="I6:P6"/>
    <mergeCell ref="Q6:Y6"/>
    <mergeCell ref="Z6:AD6"/>
    <mergeCell ref="AE6:AH6"/>
  </mergeCells>
  <conditionalFormatting sqref="AF8:AF207">
    <cfRule type="expression" dxfId="4" priority="1">
      <formula>AND($AF8&lt;&gt;"",$AF8&lt;&gt;"Popunjeno")</formula>
    </cfRule>
  </conditionalFormatting>
  <conditionalFormatting sqref="AG8:AG207">
    <cfRule type="expression" dxfId="5" priority="2">
      <formula>OR($AG8="Dopuniti evidenciju",$AG8="Proveriti datume")</formula>
    </cfRule>
  </conditionalFormatting>
  <conditionalFormatting sqref="AE8:AE207">
    <cfRule type="expression" dxfId="4" priority="3">
      <formula>$AE8="Kasni"</formula>
    </cfRule>
  </conditionalFormatting>
  <conditionalFormatting sqref="AE8:AE207">
    <cfRule type="expression" dxfId="5" priority="4">
      <formula>OR($AE8="Uskoro",$AE8="Nije određen",$AE8="Proveriti datum")</formula>
    </cfRule>
  </conditionalFormatting>
  <conditionalFormatting sqref="H8:H207">
    <cfRule type="expression" dxfId="4" priority="5">
      <formula>OR($H8="Obustavljeno",$H8="Odbijeno")</formula>
    </cfRule>
  </conditionalFormatting>
  <conditionalFormatting sqref="Z8:AD207">
    <cfRule type="expression" dxfId="5" priority="6">
      <formula>AND($Z8="Da",$AH8="")</formula>
    </cfRule>
  </conditionalFormatting>
  <dataValidations>
    <dataValidation type="list" allowBlank="1" sqref="D8:D207">
      <formula1>AI_Vrste</formula1>
    </dataValidation>
    <dataValidation type="list" allowBlank="1" sqref="H8:H207">
      <formula1>AI_Statusi</formula1>
    </dataValidation>
    <dataValidation type="list" allowBlank="1" sqref="M8:M207">
      <formula1>AI_Obucavanje</formula1>
    </dataValidation>
    <dataValidation type="list" allowBlank="1" sqref="I8:I207">
      <formula1>AI_Nalozi</formula1>
    </dataValidation>
    <dataValidation type="list" allowBlank="1" sqref="L8:L207">
      <formula1>AI_LicniPodaci</formula1>
    </dataValidation>
    <dataValidation type="date" allowBlank="1" sqref="V8:W207 AD8:AD207">
      <formula1>36526.0</formula1>
      <formula2>73050.0</formula2>
    </dataValidation>
    <dataValidation type="list" allowBlank="1" sqref="J8:J207">
      <formula1>AI_Lokacije</formula1>
    </dataValidation>
    <dataValidation type="list" allowBlank="1" sqref="Z8:Z207">
      <formula1>AI_Objava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2" width="58.0"/>
    <col customWidth="1" min="3" max="3" width="3.0"/>
    <col customWidth="1" min="4" max="4" width="27.0"/>
    <col customWidth="1" min="5" max="5" width="58.0"/>
    <col customWidth="1" min="6" max="26" width="8.63"/>
  </cols>
  <sheetData>
    <row r="1" ht="24.0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4.0" customHeight="1">
      <c r="A2" s="4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0" customHeight="1">
      <c r="A3" s="5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0" customHeight="1">
      <c r="A4" s="6" t="s">
        <v>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0" customHeight="1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0" customHeight="1">
      <c r="A6" s="2" t="s">
        <v>5</v>
      </c>
      <c r="B6" s="8"/>
      <c r="C6" s="2"/>
      <c r="D6" s="2" t="s">
        <v>9</v>
      </c>
      <c r="E6" s="2" t="str">
        <f>IF(B6="","Izaberite ID",IF(COUNTIFS(Registar!$A$8:$A$207,B6)=0,"ID nije pronađen",IF(COUNTIFS(Registar!$A$8:$A$207,B6)&gt;1,"Duplikat ID","Prikazan zapis")))</f>
        <v>Izaberite ID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0" customHeight="1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0" customHeight="1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60.0" customHeight="1">
      <c r="A9" s="11" t="s">
        <v>10</v>
      </c>
      <c r="B9" s="13" t="str">
        <f t="array" ref="B9">IF($E$6&lt;&gt;"Prikazan zapis","",IF(INDEX(Registar!$A$8:$AH$207,MATCH($B$6,Registar!$A$8:$A$207,0),2)="","",INDEX(Registar!$A$8:$AH$207,MATCH($B$6,Registar!$A$8:$A$207,0),2)))</f>
        <v/>
      </c>
      <c r="C9" s="2"/>
      <c r="D9" s="11" t="s">
        <v>14</v>
      </c>
      <c r="E9" s="13" t="str">
        <f t="array" ref="E9">IF($E$6&lt;&gt;"Prikazan zapis","",IF(INDEX(Registar!$A$8:$AH$207,MATCH($B$6,Registar!$A$8:$A$207,0),8)="","",INDEX(Registar!$A$8:$AH$207,MATCH($B$6,Registar!$A$8:$A$207,0),8)))</f>
        <v/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60.0" customHeight="1">
      <c r="A10" s="16" t="s">
        <v>18</v>
      </c>
      <c r="B10" s="18" t="str">
        <f t="array" ref="B10">IF($E$6&lt;&gt;"Prikazan zapis","",IF(INDEX(Registar!$A$8:$AH$207,MATCH($B$6,Registar!$A$8:$A$207,0),5)="","",INDEX(Registar!$A$8:$AH$207,MATCH($B$6,Registar!$A$8:$A$207,0),5)))</f>
        <v/>
      </c>
      <c r="C10" s="2"/>
      <c r="D10" s="16" t="s">
        <v>20</v>
      </c>
      <c r="E10" s="18" t="str">
        <f t="array" ref="E10">IF($E$6&lt;&gt;"Prikazan zapis","",IF(INDEX(Registar!$A$8:$AH$207,MATCH($B$6,Registar!$A$8:$A$207,0),7)="","",INDEX(Registar!$A$8:$AH$207,MATCH($B$6,Registar!$A$8:$A$207,0),7)))</f>
        <v/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60.0" customHeight="1">
      <c r="A11" s="16" t="s">
        <v>24</v>
      </c>
      <c r="B11" s="18" t="str">
        <f t="array" ref="B11">IF($E$6&lt;&gt;"Prikazan zapis","",IF(INDEX(Registar!$A$8:$AH$207,MATCH($B$6,Registar!$A$8:$A$207,0),3)="","",INDEX(Registar!$A$8:$AH$207,MATCH($B$6,Registar!$A$8:$A$207,0),3)))</f>
        <v/>
      </c>
      <c r="C11" s="2"/>
      <c r="D11" s="16" t="s">
        <v>26</v>
      </c>
      <c r="E11" s="18" t="str">
        <f t="array" ref="E11">IF($E$6&lt;&gt;"Prikazan zapis","",IF(INDEX(Registar!$A$8:$AH$207,MATCH($B$6,Registar!$A$8:$A$207,0),6)="","",INDEX(Registar!$A$8:$AH$207,MATCH($B$6,Registar!$A$8:$A$207,0),6)))</f>
        <v/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60.0" customHeight="1">
      <c r="A12" s="16" t="s">
        <v>29</v>
      </c>
      <c r="B12" s="18" t="str">
        <f t="array" ref="B12">IF($E$6&lt;&gt;"Prikazan zapis","",IF(INDEX(Registar!$A$8:$AH$207,MATCH($B$6,Registar!$A$8:$A$207,0),4)="","",INDEX(Registar!$A$8:$AH$207,MATCH($B$6,Registar!$A$8:$A$207,0),4)))</f>
        <v/>
      </c>
      <c r="C12" s="2"/>
      <c r="D12" s="16" t="s">
        <v>32</v>
      </c>
      <c r="E12" s="18" t="str">
        <f t="array" ref="E12">IF($E$6&lt;&gt;"Prikazan zapis","",IF(INDEX(Registar!$A$8:$AH$207,MATCH($B$6,Registar!$A$8:$A$207,0),9)="","",INDEX(Registar!$A$8:$AH$207,MATCH($B$6,Registar!$A$8:$A$207,0),9)))</f>
        <v/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60.0" customHeight="1">
      <c r="A13" s="16" t="s">
        <v>33</v>
      </c>
      <c r="B13" s="18" t="str">
        <f t="array" ref="B13">IF($E$6&lt;&gt;"Prikazan zapis","",IF(INDEX(Registar!$A$8:$AH$207,MATCH($B$6,Registar!$A$8:$A$207,0),10)="","",INDEX(Registar!$A$8:$AH$207,MATCH($B$6,Registar!$A$8:$A$207,0),10)))</f>
        <v/>
      </c>
      <c r="C13" s="2"/>
      <c r="D13" s="16" t="s">
        <v>38</v>
      </c>
      <c r="E13" s="18" t="str">
        <f t="array" ref="E13">IF($E$6&lt;&gt;"Prikazan zapis","",IF(INDEX(Registar!$A$8:$AH$207,MATCH($B$6,Registar!$A$8:$A$207,0),13)="","",INDEX(Registar!$A$8:$AH$207,MATCH($B$6,Registar!$A$8:$A$207,0),13)))</f>
        <v/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60.0" customHeight="1">
      <c r="A14" s="16" t="s">
        <v>34</v>
      </c>
      <c r="B14" s="18" t="str">
        <f t="array" ref="B14">IF($E$6&lt;&gt;"Prikazan zapis","",IF(INDEX(Registar!$A$8:$AH$207,MATCH($B$6,Registar!$A$8:$A$207,0),11)="","",INDEX(Registar!$A$8:$AH$207,MATCH($B$6,Registar!$A$8:$A$207,0),11)))</f>
        <v/>
      </c>
      <c r="C14" s="2"/>
      <c r="D14" s="16" t="s">
        <v>35</v>
      </c>
      <c r="E14" s="18" t="str">
        <f t="array" ref="E14">IF($E$6&lt;&gt;"Prikazan zapis","",IF(INDEX(Registar!$A$8:$AH$207,MATCH($B$6,Registar!$A$8:$A$207,0),12)="","",INDEX(Registar!$A$8:$AH$207,MATCH($B$6,Registar!$A$8:$A$207,0),12)))</f>
        <v/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60.0" customHeight="1">
      <c r="A15" s="16" t="s">
        <v>39</v>
      </c>
      <c r="B15" s="18" t="str">
        <f t="array" ref="B15">IF($E$6&lt;&gt;"Prikazan zapis","",IF(INDEX(Registar!$A$8:$AH$207,MATCH($B$6,Registar!$A$8:$A$207,0),14)="","",INDEX(Registar!$A$8:$AH$207,MATCH($B$6,Registar!$A$8:$A$207,0),14)))</f>
        <v/>
      </c>
      <c r="C15" s="2"/>
      <c r="D15" s="16" t="s">
        <v>41</v>
      </c>
      <c r="E15" s="18" t="str">
        <f t="array" ref="E15">IF($E$6&lt;&gt;"Prikazan zapis","",IF(INDEX(Registar!$A$8:$AH$207,MATCH($B$6,Registar!$A$8:$A$207,0),15)="","",INDEX(Registar!$A$8:$AH$207,MATCH($B$6,Registar!$A$8:$A$207,0),15)))</f>
        <v/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60.0" customHeight="1">
      <c r="A16" s="16" t="s">
        <v>42</v>
      </c>
      <c r="B16" s="18" t="str">
        <f t="array" ref="B16">IF($E$6&lt;&gt;"Prikazan zapis","",IF(INDEX(Registar!$A$8:$AH$207,MATCH($B$6,Registar!$A$8:$A$207,0),16)="","",INDEX(Registar!$A$8:$AH$207,MATCH($B$6,Registar!$A$8:$A$207,0),16)))</f>
        <v/>
      </c>
      <c r="C16" s="2"/>
      <c r="D16" s="16" t="s">
        <v>44</v>
      </c>
      <c r="E16" s="18" t="str">
        <f t="array" ref="E16">IF($E$6&lt;&gt;"Prikazan zapis","",IF(INDEX(Registar!$A$8:$AH$207,MATCH($B$6,Registar!$A$8:$A$207,0),17)="","",INDEX(Registar!$A$8:$AH$207,MATCH($B$6,Registar!$A$8:$A$207,0),17)))</f>
        <v/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60.0" customHeight="1">
      <c r="A17" s="16" t="s">
        <v>46</v>
      </c>
      <c r="B17" s="18" t="str">
        <f t="array" ref="B17">IF($E$6&lt;&gt;"Prikazan zapis","",IF(INDEX(Registar!$A$8:$AH$207,MATCH($B$6,Registar!$A$8:$A$207,0),18)="","",INDEX(Registar!$A$8:$AH$207,MATCH($B$6,Registar!$A$8:$A$207,0),18)))</f>
        <v/>
      </c>
      <c r="C17" s="2"/>
      <c r="D17" s="16" t="s">
        <v>47</v>
      </c>
      <c r="E17" s="18" t="str">
        <f t="array" ref="E17">IF($E$6&lt;&gt;"Prikazan zapis","",IF(INDEX(Registar!$A$8:$AH$207,MATCH($B$6,Registar!$A$8:$A$207,0),19)="","",INDEX(Registar!$A$8:$AH$207,MATCH($B$6,Registar!$A$8:$A$207,0),19)))</f>
        <v/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60.0" customHeight="1">
      <c r="A18" s="16" t="s">
        <v>50</v>
      </c>
      <c r="B18" s="18" t="str">
        <f t="array" ref="B18">IF($E$6&lt;&gt;"Prikazan zapis","",IF(INDEX(Registar!$A$8:$AH$207,MATCH($B$6,Registar!$A$8:$A$207,0),20)="","",INDEX(Registar!$A$8:$AH$207,MATCH($B$6,Registar!$A$8:$A$207,0),20)))</f>
        <v/>
      </c>
      <c r="C18" s="2"/>
      <c r="D18" s="16" t="s">
        <v>51</v>
      </c>
      <c r="E18" s="18" t="str">
        <f t="array" ref="E18">IF($E$6&lt;&gt;"Prikazan zapis","",IF(INDEX(Registar!$A$8:$AH$207,MATCH($B$6,Registar!$A$8:$A$207,0),21)="","",INDEX(Registar!$A$8:$AH$207,MATCH($B$6,Registar!$A$8:$A$207,0),21)))</f>
        <v/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60.0" customHeight="1">
      <c r="A19" s="16" t="s">
        <v>52</v>
      </c>
      <c r="B19" s="45" t="str">
        <f t="array" ref="B19">IF($E$6&lt;&gt;"Prikazan zapis","",IF(INDEX(Registar!$A$8:$AH$207,MATCH($B$6,Registar!$A$8:$A$207,0),22)="","",INDEX(Registar!$A$8:$AH$207,MATCH($B$6,Registar!$A$8:$A$207,0),22)))</f>
        <v/>
      </c>
      <c r="C19" s="2"/>
      <c r="D19" s="16" t="s">
        <v>54</v>
      </c>
      <c r="E19" s="45" t="str">
        <f t="array" ref="E19">IF($E$6&lt;&gt;"Prikazan zapis","",IF(INDEX(Registar!$A$8:$AH$207,MATCH($B$6,Registar!$A$8:$A$207,0),23)="","",INDEX(Registar!$A$8:$AH$207,MATCH($B$6,Registar!$A$8:$A$207,0),23)))</f>
        <v/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60.0" customHeight="1">
      <c r="A20" s="16" t="s">
        <v>55</v>
      </c>
      <c r="B20" s="18" t="str">
        <f t="array" ref="B20">IF($E$6&lt;&gt;"Prikazan zapis","",IF(INDEX(Registar!$A$8:$AH$207,MATCH($B$6,Registar!$A$8:$A$207,0),24)="","",INDEX(Registar!$A$8:$AH$207,MATCH($B$6,Registar!$A$8:$A$207,0),24)))</f>
        <v/>
      </c>
      <c r="C20" s="2"/>
      <c r="D20" s="16" t="s">
        <v>56</v>
      </c>
      <c r="E20" s="18" t="str">
        <f t="array" ref="E20">IF($E$6&lt;&gt;"Prikazan zapis","",IF(INDEX(Registar!$A$8:$AH$207,MATCH($B$6,Registar!$A$8:$A$207,0),25)="","",INDEX(Registar!$A$8:$AH$207,MATCH($B$6,Registar!$A$8:$A$207,0),25)))</f>
        <v/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60.0" customHeight="1">
      <c r="A21" s="16" t="s">
        <v>57</v>
      </c>
      <c r="B21" s="18" t="str">
        <f t="array" ref="B21">IF($E$6&lt;&gt;"Prikazan zapis","",IF(INDEX(Registar!$A$8:$AH$207,MATCH($B$6,Registar!$A$8:$A$207,0),26)="","",INDEX(Registar!$A$8:$AH$207,MATCH($B$6,Registar!$A$8:$A$207,0),26)))</f>
        <v/>
      </c>
      <c r="C21" s="2"/>
      <c r="D21" s="16" t="s">
        <v>45</v>
      </c>
      <c r="E21" s="18" t="str">
        <f t="array" ref="E21">IF($E$6&lt;&gt;"Prikazan zapis","",IF(INDEX(Registar!$A$8:$AH$207,MATCH($B$6,Registar!$A$8:$A$207,0),27)="","",INDEX(Registar!$A$8:$AH$207,MATCH($B$6,Registar!$A$8:$A$207,0),27)))</f>
        <v/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60.0" customHeight="1">
      <c r="A22" s="16" t="s">
        <v>59</v>
      </c>
      <c r="B22" s="18" t="str">
        <f t="array" ref="B22">IF($E$6&lt;&gt;"Prikazan zapis","",IF(INDEX(Registar!$A$8:$AH$207,MATCH($B$6,Registar!$A$8:$A$207,0),28)="","",INDEX(Registar!$A$8:$AH$207,MATCH($B$6,Registar!$A$8:$A$207,0),28)))</f>
        <v/>
      </c>
      <c r="C22" s="2"/>
      <c r="D22" s="16" t="s">
        <v>60</v>
      </c>
      <c r="E22" s="18" t="str">
        <f t="array" ref="E22">IF($E$6&lt;&gt;"Prikazan zapis","",IF(INDEX(Registar!$A$8:$AH$207,MATCH($B$6,Registar!$A$8:$A$207,0),29)="","",INDEX(Registar!$A$8:$AH$207,MATCH($B$6,Registar!$A$8:$A$207,0),29)))</f>
        <v/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60.0" customHeight="1">
      <c r="A23" s="16" t="s">
        <v>61</v>
      </c>
      <c r="B23" s="45" t="str">
        <f t="array" ref="B23">IF($E$6&lt;&gt;"Prikazan zapis","",IF(INDEX(Registar!$A$8:$AH$207,MATCH($B$6,Registar!$A$8:$A$207,0),30)="","",INDEX(Registar!$A$8:$AH$207,MATCH($B$6,Registar!$A$8:$A$207,0),30)))</f>
        <v/>
      </c>
      <c r="C23" s="2"/>
      <c r="D23" s="16" t="s">
        <v>63</v>
      </c>
      <c r="E23" s="18" t="str">
        <f t="array" ref="E23">IF($E$6&lt;&gt;"Prikazan zapis","",IF(INDEX(Registar!$A$8:$AH$207,MATCH($B$6,Registar!$A$8:$A$207,0),31)="","",INDEX(Registar!$A$8:$AH$207,MATCH($B$6,Registar!$A$8:$A$207,0),31)))</f>
        <v/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60.0" customHeight="1">
      <c r="A24" s="16" t="s">
        <v>64</v>
      </c>
      <c r="B24" s="18" t="str">
        <f t="array" ref="B24">IF($E$6&lt;&gt;"Prikazan zapis","",IF(INDEX(Registar!$A$8:$AH$207,MATCH($B$6,Registar!$A$8:$A$207,0),32)="","",INDEX(Registar!$A$8:$AH$207,MATCH($B$6,Registar!$A$8:$A$207,0),32)))</f>
        <v/>
      </c>
      <c r="C24" s="2"/>
      <c r="D24" s="16" t="s">
        <v>65</v>
      </c>
      <c r="E24" s="18" t="str">
        <f t="array" ref="E24">IF($E$6&lt;&gt;"Prikazan zapis","",IF(INDEX(Registar!$A$8:$AH$207,MATCH($B$6,Registar!$A$8:$A$207,0),33)="","",INDEX(Registar!$A$8:$AH$207,MATCH($B$6,Registar!$A$8:$A$207,0),33)))</f>
        <v/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4.0" customHeight="1">
      <c r="A25" s="2"/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0" customHeight="1">
      <c r="A26" s="2"/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4.0" customHeight="1">
      <c r="A27" s="7" t="s">
        <v>86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0" customHeight="1"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0" customHeight="1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0" customHeight="1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0" customHeight="1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0" customHeight="1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0" customHeight="1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0" customHeight="1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0" customHeight="1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0" customHeight="1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0" customHeight="1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0" customHeight="1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0" customHeight="1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0" customHeight="1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0" customHeight="1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0" customHeight="1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4.0" customHeight="1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4.0" customHeight="1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4.0" customHeight="1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4.0" customHeight="1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4.0" customHeight="1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4.0" customHeight="1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4.0" customHeight="1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2:E3"/>
    <mergeCell ref="A4:E4"/>
    <mergeCell ref="A27:E28"/>
  </mergeCells>
  <conditionalFormatting sqref="E6">
    <cfRule type="expression" dxfId="4" priority="1">
      <formula>OR(E6="ID nije pronađen",E6="Duplikat ID")</formula>
    </cfRule>
  </conditionalFormatting>
  <dataValidations>
    <dataValidation type="list" allowBlank="1" sqref="B6">
      <formula1>AI_Oznake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38.0"/>
    <col customWidth="1" min="2" max="2" width="90.0"/>
    <col customWidth="1" min="3" max="4" width="25.0"/>
    <col customWidth="1" min="5" max="26" width="8.63"/>
  </cols>
  <sheetData>
    <row r="1" ht="24.0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4.0" customHeight="1">
      <c r="A2" s="4" t="s">
        <v>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0" customHeight="1">
      <c r="A3" s="5"/>
      <c r="B3" s="5"/>
      <c r="C3" s="5"/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0" customHeight="1">
      <c r="A4" s="6" t="s">
        <v>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0" customHeight="1">
      <c r="A5" s="7" t="s">
        <v>40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0" customHeight="1"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42.75" customHeight="1">
      <c r="A7" s="33" t="s">
        <v>45</v>
      </c>
      <c r="B7" s="33" t="s">
        <v>48</v>
      </c>
      <c r="C7" s="33" t="s">
        <v>14</v>
      </c>
      <c r="D7" s="33" t="s">
        <v>49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61.5" customHeight="1">
      <c r="A8" s="31" t="str">
        <f t="array" ref="A8">IF(1&gt;COUNT(Registar!$AH$8:$AH$207),"",INDEX(Registar!$AA$8:$AA$207,MATCH(1,Registar!$AH$8:$AH$207,0)))</f>
        <v/>
      </c>
      <c r="B8" s="31" t="str">
        <f t="array" ref="B8">IF(1&gt;COUNT(Registar!$AH$8:$AH$207),"",INDEX(Registar!$AB$8:$AB$207,MATCH(1,Registar!$AH$8:$AH$207,0)))</f>
        <v/>
      </c>
      <c r="C8" s="31" t="str">
        <f t="array" ref="C8">IF(1&gt;COUNT(Registar!$AH$8:$AH$207),"",INDEX(Registar!$H$8:$H$207,MATCH(1,Registar!$AH$8:$AH$207,0)))</f>
        <v/>
      </c>
      <c r="D8" s="38" t="str">
        <f t="array" ref="D8">IF(1&gt;COUNT(Registar!$AH$8:$AH$207),"",INDEX(Registar!$AD$8:$AD$207,MATCH(1,Registar!$AH$8:$AH$207,0)))</f>
        <v/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61.5" customHeight="1">
      <c r="A9" s="31" t="str">
        <f t="array" ref="A9">IF(2&gt;COUNT(Registar!$AH$8:$AH$207),"",INDEX(Registar!$AA$8:$AA$207,MATCH(2,Registar!$AH$8:$AH$207,0)))</f>
        <v/>
      </c>
      <c r="B9" s="31" t="str">
        <f t="array" ref="B9">IF(2&gt;COUNT(Registar!$AH$8:$AH$207),"",INDEX(Registar!$AB$8:$AB$207,MATCH(2,Registar!$AH$8:$AH$207,0)))</f>
        <v/>
      </c>
      <c r="C9" s="31" t="str">
        <f t="array" ref="C9">IF(2&gt;COUNT(Registar!$AH$8:$AH$207),"",INDEX(Registar!$H$8:$H$207,MATCH(2,Registar!$AH$8:$AH$207,0)))</f>
        <v/>
      </c>
      <c r="D9" s="38" t="str">
        <f t="array" ref="D9">IF(2&gt;COUNT(Registar!$AH$8:$AH$207),"",INDEX(Registar!$AD$8:$AD$207,MATCH(2,Registar!$AH$8:$AH$207,0)))</f>
        <v/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61.5" customHeight="1">
      <c r="A10" s="31" t="str">
        <f t="array" ref="A10">IF(3&gt;COUNT(Registar!$AH$8:$AH$207),"",INDEX(Registar!$AA$8:$AA$207,MATCH(3,Registar!$AH$8:$AH$207,0)))</f>
        <v/>
      </c>
      <c r="B10" s="31" t="str">
        <f t="array" ref="B10">IF(3&gt;COUNT(Registar!$AH$8:$AH$207),"",INDEX(Registar!$AB$8:$AB$207,MATCH(3,Registar!$AH$8:$AH$207,0)))</f>
        <v/>
      </c>
      <c r="C10" s="31" t="str">
        <f t="array" ref="C10">IF(3&gt;COUNT(Registar!$AH$8:$AH$207),"",INDEX(Registar!$H$8:$H$207,MATCH(3,Registar!$AH$8:$AH$207,0)))</f>
        <v/>
      </c>
      <c r="D10" s="38" t="str">
        <f t="array" ref="D10">IF(3&gt;COUNT(Registar!$AH$8:$AH$207),"",INDEX(Registar!$AD$8:$AD$207,MATCH(3,Registar!$AH$8:$AH$207,0)))</f>
        <v/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61.5" customHeight="1">
      <c r="A11" s="31" t="str">
        <f t="array" ref="A11">IF(4&gt;COUNT(Registar!$AH$8:$AH$207),"",INDEX(Registar!$AA$8:$AA$207,MATCH(4,Registar!$AH$8:$AH$207,0)))</f>
        <v/>
      </c>
      <c r="B11" s="31" t="str">
        <f t="array" ref="B11">IF(4&gt;COUNT(Registar!$AH$8:$AH$207),"",INDEX(Registar!$AB$8:$AB$207,MATCH(4,Registar!$AH$8:$AH$207,0)))</f>
        <v/>
      </c>
      <c r="C11" s="31" t="str">
        <f t="array" ref="C11">IF(4&gt;COUNT(Registar!$AH$8:$AH$207),"",INDEX(Registar!$H$8:$H$207,MATCH(4,Registar!$AH$8:$AH$207,0)))</f>
        <v/>
      </c>
      <c r="D11" s="38" t="str">
        <f t="array" ref="D11">IF(4&gt;COUNT(Registar!$AH$8:$AH$207),"",INDEX(Registar!$AD$8:$AD$207,MATCH(4,Registar!$AH$8:$AH$207,0)))</f>
        <v/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61.5" customHeight="1">
      <c r="A12" s="31" t="str">
        <f t="array" ref="A12">IF(5&gt;COUNT(Registar!$AH$8:$AH$207),"",INDEX(Registar!$AA$8:$AA$207,MATCH(5,Registar!$AH$8:$AH$207,0)))</f>
        <v/>
      </c>
      <c r="B12" s="31" t="str">
        <f t="array" ref="B12">IF(5&gt;COUNT(Registar!$AH$8:$AH$207),"",INDEX(Registar!$AB$8:$AB$207,MATCH(5,Registar!$AH$8:$AH$207,0)))</f>
        <v/>
      </c>
      <c r="C12" s="31" t="str">
        <f t="array" ref="C12">IF(5&gt;COUNT(Registar!$AH$8:$AH$207),"",INDEX(Registar!$H$8:$H$207,MATCH(5,Registar!$AH$8:$AH$207,0)))</f>
        <v/>
      </c>
      <c r="D12" s="38" t="str">
        <f t="array" ref="D12">IF(5&gt;COUNT(Registar!$AH$8:$AH$207),"",INDEX(Registar!$AD$8:$AD$207,MATCH(5,Registar!$AH$8:$AH$207,0)))</f>
        <v/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61.5" customHeight="1">
      <c r="A13" s="31" t="str">
        <f t="array" ref="A13">IF(6&gt;COUNT(Registar!$AH$8:$AH$207),"",INDEX(Registar!$AA$8:$AA$207,MATCH(6,Registar!$AH$8:$AH$207,0)))</f>
        <v/>
      </c>
      <c r="B13" s="31" t="str">
        <f t="array" ref="B13">IF(6&gt;COUNT(Registar!$AH$8:$AH$207),"",INDEX(Registar!$AB$8:$AB$207,MATCH(6,Registar!$AH$8:$AH$207,0)))</f>
        <v/>
      </c>
      <c r="C13" s="31" t="str">
        <f t="array" ref="C13">IF(6&gt;COUNT(Registar!$AH$8:$AH$207),"",INDEX(Registar!$H$8:$H$207,MATCH(6,Registar!$AH$8:$AH$207,0)))</f>
        <v/>
      </c>
      <c r="D13" s="38" t="str">
        <f t="array" ref="D13">IF(6&gt;COUNT(Registar!$AH$8:$AH$207),"",INDEX(Registar!$AD$8:$AD$207,MATCH(6,Registar!$AH$8:$AH$207,0)))</f>
        <v/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61.5" customHeight="1">
      <c r="A14" s="31" t="str">
        <f t="array" ref="A14">IF(7&gt;COUNT(Registar!$AH$8:$AH$207),"",INDEX(Registar!$AA$8:$AA$207,MATCH(7,Registar!$AH$8:$AH$207,0)))</f>
        <v/>
      </c>
      <c r="B14" s="31" t="str">
        <f t="array" ref="B14">IF(7&gt;COUNT(Registar!$AH$8:$AH$207),"",INDEX(Registar!$AB$8:$AB$207,MATCH(7,Registar!$AH$8:$AH$207,0)))</f>
        <v/>
      </c>
      <c r="C14" s="31" t="str">
        <f t="array" ref="C14">IF(7&gt;COUNT(Registar!$AH$8:$AH$207),"",INDEX(Registar!$H$8:$H$207,MATCH(7,Registar!$AH$8:$AH$207,0)))</f>
        <v/>
      </c>
      <c r="D14" s="38" t="str">
        <f t="array" ref="D14">IF(7&gt;COUNT(Registar!$AH$8:$AH$207),"",INDEX(Registar!$AD$8:$AD$207,MATCH(7,Registar!$AH$8:$AH$207,0)))</f>
        <v/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61.5" customHeight="1">
      <c r="A15" s="31" t="str">
        <f t="array" ref="A15">IF(8&gt;COUNT(Registar!$AH$8:$AH$207),"",INDEX(Registar!$AA$8:$AA$207,MATCH(8,Registar!$AH$8:$AH$207,0)))</f>
        <v/>
      </c>
      <c r="B15" s="31" t="str">
        <f t="array" ref="B15">IF(8&gt;COUNT(Registar!$AH$8:$AH$207),"",INDEX(Registar!$AB$8:$AB$207,MATCH(8,Registar!$AH$8:$AH$207,0)))</f>
        <v/>
      </c>
      <c r="C15" s="31" t="str">
        <f t="array" ref="C15">IF(8&gt;COUNT(Registar!$AH$8:$AH$207),"",INDEX(Registar!$H$8:$H$207,MATCH(8,Registar!$AH$8:$AH$207,0)))</f>
        <v/>
      </c>
      <c r="D15" s="38" t="str">
        <f t="array" ref="D15">IF(8&gt;COUNT(Registar!$AH$8:$AH$207),"",INDEX(Registar!$AD$8:$AD$207,MATCH(8,Registar!$AH$8:$AH$207,0)))</f>
        <v/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61.5" customHeight="1">
      <c r="A16" s="31" t="str">
        <f t="array" ref="A16">IF(9&gt;COUNT(Registar!$AH$8:$AH$207),"",INDEX(Registar!$AA$8:$AA$207,MATCH(9,Registar!$AH$8:$AH$207,0)))</f>
        <v/>
      </c>
      <c r="B16" s="31" t="str">
        <f t="array" ref="B16">IF(9&gt;COUNT(Registar!$AH$8:$AH$207),"",INDEX(Registar!$AB$8:$AB$207,MATCH(9,Registar!$AH$8:$AH$207,0)))</f>
        <v/>
      </c>
      <c r="C16" s="31" t="str">
        <f t="array" ref="C16">IF(9&gt;COUNT(Registar!$AH$8:$AH$207),"",INDEX(Registar!$H$8:$H$207,MATCH(9,Registar!$AH$8:$AH$207,0)))</f>
        <v/>
      </c>
      <c r="D16" s="38" t="str">
        <f t="array" ref="D16">IF(9&gt;COUNT(Registar!$AH$8:$AH$207),"",INDEX(Registar!$AD$8:$AD$207,MATCH(9,Registar!$AH$8:$AH$207,0)))</f>
        <v/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61.5" customHeight="1">
      <c r="A17" s="31" t="str">
        <f t="array" ref="A17">IF(10&gt;COUNT(Registar!$AH$8:$AH$207),"",INDEX(Registar!$AA$8:$AA$207,MATCH(10,Registar!$AH$8:$AH$207,0)))</f>
        <v/>
      </c>
      <c r="B17" s="31" t="str">
        <f t="array" ref="B17">IF(10&gt;COUNT(Registar!$AH$8:$AH$207),"",INDEX(Registar!$AB$8:$AB$207,MATCH(10,Registar!$AH$8:$AH$207,0)))</f>
        <v/>
      </c>
      <c r="C17" s="31" t="str">
        <f t="array" ref="C17">IF(10&gt;COUNT(Registar!$AH$8:$AH$207),"",INDEX(Registar!$H$8:$H$207,MATCH(10,Registar!$AH$8:$AH$207,0)))</f>
        <v/>
      </c>
      <c r="D17" s="38" t="str">
        <f t="array" ref="D17">IF(10&gt;COUNT(Registar!$AH$8:$AH$207),"",INDEX(Registar!$AD$8:$AD$207,MATCH(10,Registar!$AH$8:$AH$207,0)))</f>
        <v/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61.5" customHeight="1">
      <c r="A18" s="31" t="str">
        <f t="array" ref="A18">IF(11&gt;COUNT(Registar!$AH$8:$AH$207),"",INDEX(Registar!$AA$8:$AA$207,MATCH(11,Registar!$AH$8:$AH$207,0)))</f>
        <v/>
      </c>
      <c r="B18" s="31" t="str">
        <f t="array" ref="B18">IF(11&gt;COUNT(Registar!$AH$8:$AH$207),"",INDEX(Registar!$AB$8:$AB$207,MATCH(11,Registar!$AH$8:$AH$207,0)))</f>
        <v/>
      </c>
      <c r="C18" s="31" t="str">
        <f t="array" ref="C18">IF(11&gt;COUNT(Registar!$AH$8:$AH$207),"",INDEX(Registar!$H$8:$H$207,MATCH(11,Registar!$AH$8:$AH$207,0)))</f>
        <v/>
      </c>
      <c r="D18" s="38" t="str">
        <f t="array" ref="D18">IF(11&gt;COUNT(Registar!$AH$8:$AH$207),"",INDEX(Registar!$AD$8:$AD$207,MATCH(11,Registar!$AH$8:$AH$207,0)))</f>
        <v/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61.5" customHeight="1">
      <c r="A19" s="31" t="str">
        <f t="array" ref="A19">IF(12&gt;COUNT(Registar!$AH$8:$AH$207),"",INDEX(Registar!$AA$8:$AA$207,MATCH(12,Registar!$AH$8:$AH$207,0)))</f>
        <v/>
      </c>
      <c r="B19" s="31" t="str">
        <f t="array" ref="B19">IF(12&gt;COUNT(Registar!$AH$8:$AH$207),"",INDEX(Registar!$AB$8:$AB$207,MATCH(12,Registar!$AH$8:$AH$207,0)))</f>
        <v/>
      </c>
      <c r="C19" s="31" t="str">
        <f t="array" ref="C19">IF(12&gt;COUNT(Registar!$AH$8:$AH$207),"",INDEX(Registar!$H$8:$H$207,MATCH(12,Registar!$AH$8:$AH$207,0)))</f>
        <v/>
      </c>
      <c r="D19" s="38" t="str">
        <f t="array" ref="D19">IF(12&gt;COUNT(Registar!$AH$8:$AH$207),"",INDEX(Registar!$AD$8:$AD$207,MATCH(12,Registar!$AH$8:$AH$207,0)))</f>
        <v/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61.5" customHeight="1">
      <c r="A20" s="31" t="str">
        <f t="array" ref="A20">IF(13&gt;COUNT(Registar!$AH$8:$AH$207),"",INDEX(Registar!$AA$8:$AA$207,MATCH(13,Registar!$AH$8:$AH$207,0)))</f>
        <v/>
      </c>
      <c r="B20" s="31" t="str">
        <f t="array" ref="B20">IF(13&gt;COUNT(Registar!$AH$8:$AH$207),"",INDEX(Registar!$AB$8:$AB$207,MATCH(13,Registar!$AH$8:$AH$207,0)))</f>
        <v/>
      </c>
      <c r="C20" s="31" t="str">
        <f t="array" ref="C20">IF(13&gt;COUNT(Registar!$AH$8:$AH$207),"",INDEX(Registar!$H$8:$H$207,MATCH(13,Registar!$AH$8:$AH$207,0)))</f>
        <v/>
      </c>
      <c r="D20" s="38" t="str">
        <f t="array" ref="D20">IF(13&gt;COUNT(Registar!$AH$8:$AH$207),"",INDEX(Registar!$AD$8:$AD$207,MATCH(13,Registar!$AH$8:$AH$207,0)))</f>
        <v/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61.5" customHeight="1">
      <c r="A21" s="31" t="str">
        <f t="array" ref="A21">IF(14&gt;COUNT(Registar!$AH$8:$AH$207),"",INDEX(Registar!$AA$8:$AA$207,MATCH(14,Registar!$AH$8:$AH$207,0)))</f>
        <v/>
      </c>
      <c r="B21" s="31" t="str">
        <f t="array" ref="B21">IF(14&gt;COUNT(Registar!$AH$8:$AH$207),"",INDEX(Registar!$AB$8:$AB$207,MATCH(14,Registar!$AH$8:$AH$207,0)))</f>
        <v/>
      </c>
      <c r="C21" s="31" t="str">
        <f t="array" ref="C21">IF(14&gt;COUNT(Registar!$AH$8:$AH$207),"",INDEX(Registar!$H$8:$H$207,MATCH(14,Registar!$AH$8:$AH$207,0)))</f>
        <v/>
      </c>
      <c r="D21" s="38" t="str">
        <f t="array" ref="D21">IF(14&gt;COUNT(Registar!$AH$8:$AH$207),"",INDEX(Registar!$AD$8:$AD$207,MATCH(14,Registar!$AH$8:$AH$207,0)))</f>
        <v/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61.5" customHeight="1">
      <c r="A22" s="31" t="str">
        <f t="array" ref="A22">IF(15&gt;COUNT(Registar!$AH$8:$AH$207),"",INDEX(Registar!$AA$8:$AA$207,MATCH(15,Registar!$AH$8:$AH$207,0)))</f>
        <v/>
      </c>
      <c r="B22" s="31" t="str">
        <f t="array" ref="B22">IF(15&gt;COUNT(Registar!$AH$8:$AH$207),"",INDEX(Registar!$AB$8:$AB$207,MATCH(15,Registar!$AH$8:$AH$207,0)))</f>
        <v/>
      </c>
      <c r="C22" s="31" t="str">
        <f t="array" ref="C22">IF(15&gt;COUNT(Registar!$AH$8:$AH$207),"",INDEX(Registar!$H$8:$H$207,MATCH(15,Registar!$AH$8:$AH$207,0)))</f>
        <v/>
      </c>
      <c r="D22" s="38" t="str">
        <f t="array" ref="D22">IF(15&gt;COUNT(Registar!$AH$8:$AH$207),"",INDEX(Registar!$AD$8:$AD$207,MATCH(15,Registar!$AH$8:$AH$207,0)))</f>
        <v/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61.5" customHeight="1">
      <c r="A23" s="31" t="str">
        <f t="array" ref="A23">IF(16&gt;COUNT(Registar!$AH$8:$AH$207),"",INDEX(Registar!$AA$8:$AA$207,MATCH(16,Registar!$AH$8:$AH$207,0)))</f>
        <v/>
      </c>
      <c r="B23" s="31" t="str">
        <f t="array" ref="B23">IF(16&gt;COUNT(Registar!$AH$8:$AH$207),"",INDEX(Registar!$AB$8:$AB$207,MATCH(16,Registar!$AH$8:$AH$207,0)))</f>
        <v/>
      </c>
      <c r="C23" s="31" t="str">
        <f t="array" ref="C23">IF(16&gt;COUNT(Registar!$AH$8:$AH$207),"",INDEX(Registar!$H$8:$H$207,MATCH(16,Registar!$AH$8:$AH$207,0)))</f>
        <v/>
      </c>
      <c r="D23" s="38" t="str">
        <f t="array" ref="D23">IF(16&gt;COUNT(Registar!$AH$8:$AH$207),"",INDEX(Registar!$AD$8:$AD$207,MATCH(16,Registar!$AH$8:$AH$207,0)))</f>
        <v/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61.5" customHeight="1">
      <c r="A24" s="31" t="str">
        <f t="array" ref="A24">IF(17&gt;COUNT(Registar!$AH$8:$AH$207),"",INDEX(Registar!$AA$8:$AA$207,MATCH(17,Registar!$AH$8:$AH$207,0)))</f>
        <v/>
      </c>
      <c r="B24" s="31" t="str">
        <f t="array" ref="B24">IF(17&gt;COUNT(Registar!$AH$8:$AH$207),"",INDEX(Registar!$AB$8:$AB$207,MATCH(17,Registar!$AH$8:$AH$207,0)))</f>
        <v/>
      </c>
      <c r="C24" s="31" t="str">
        <f t="array" ref="C24">IF(17&gt;COUNT(Registar!$AH$8:$AH$207),"",INDEX(Registar!$H$8:$H$207,MATCH(17,Registar!$AH$8:$AH$207,0)))</f>
        <v/>
      </c>
      <c r="D24" s="38" t="str">
        <f t="array" ref="D24">IF(17&gt;COUNT(Registar!$AH$8:$AH$207),"",INDEX(Registar!$AD$8:$AD$207,MATCH(17,Registar!$AH$8:$AH$207,0)))</f>
        <v/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61.5" customHeight="1">
      <c r="A25" s="31" t="str">
        <f t="array" ref="A25">IF(18&gt;COUNT(Registar!$AH$8:$AH$207),"",INDEX(Registar!$AA$8:$AA$207,MATCH(18,Registar!$AH$8:$AH$207,0)))</f>
        <v/>
      </c>
      <c r="B25" s="31" t="str">
        <f t="array" ref="B25">IF(18&gt;COUNT(Registar!$AH$8:$AH$207),"",INDEX(Registar!$AB$8:$AB$207,MATCH(18,Registar!$AH$8:$AH$207,0)))</f>
        <v/>
      </c>
      <c r="C25" s="31" t="str">
        <f t="array" ref="C25">IF(18&gt;COUNT(Registar!$AH$8:$AH$207),"",INDEX(Registar!$H$8:$H$207,MATCH(18,Registar!$AH$8:$AH$207,0)))</f>
        <v/>
      </c>
      <c r="D25" s="38" t="str">
        <f t="array" ref="D25">IF(18&gt;COUNT(Registar!$AH$8:$AH$207),"",INDEX(Registar!$AD$8:$AD$207,MATCH(18,Registar!$AH$8:$AH$207,0)))</f>
        <v/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61.5" customHeight="1">
      <c r="A26" s="31" t="str">
        <f t="array" ref="A26">IF(19&gt;COUNT(Registar!$AH$8:$AH$207),"",INDEX(Registar!$AA$8:$AA$207,MATCH(19,Registar!$AH$8:$AH$207,0)))</f>
        <v/>
      </c>
      <c r="B26" s="31" t="str">
        <f t="array" ref="B26">IF(19&gt;COUNT(Registar!$AH$8:$AH$207),"",INDEX(Registar!$AB$8:$AB$207,MATCH(19,Registar!$AH$8:$AH$207,0)))</f>
        <v/>
      </c>
      <c r="C26" s="31" t="str">
        <f t="array" ref="C26">IF(19&gt;COUNT(Registar!$AH$8:$AH$207),"",INDEX(Registar!$H$8:$H$207,MATCH(19,Registar!$AH$8:$AH$207,0)))</f>
        <v/>
      </c>
      <c r="D26" s="38" t="str">
        <f t="array" ref="D26">IF(19&gt;COUNT(Registar!$AH$8:$AH$207),"",INDEX(Registar!$AD$8:$AD$207,MATCH(19,Registar!$AH$8:$AH$207,0)))</f>
        <v/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61.5" customHeight="1">
      <c r="A27" s="31" t="str">
        <f t="array" ref="A27">IF(20&gt;COUNT(Registar!$AH$8:$AH$207),"",INDEX(Registar!$AA$8:$AA$207,MATCH(20,Registar!$AH$8:$AH$207,0)))</f>
        <v/>
      </c>
      <c r="B27" s="31" t="str">
        <f t="array" ref="B27">IF(20&gt;COUNT(Registar!$AH$8:$AH$207),"",INDEX(Registar!$AB$8:$AB$207,MATCH(20,Registar!$AH$8:$AH$207,0)))</f>
        <v/>
      </c>
      <c r="C27" s="31" t="str">
        <f t="array" ref="C27">IF(20&gt;COUNT(Registar!$AH$8:$AH$207),"",INDEX(Registar!$H$8:$H$207,MATCH(20,Registar!$AH$8:$AH$207,0)))</f>
        <v/>
      </c>
      <c r="D27" s="38" t="str">
        <f t="array" ref="D27">IF(20&gt;COUNT(Registar!$AH$8:$AH$207),"",INDEX(Registar!$AD$8:$AD$207,MATCH(20,Registar!$AH$8:$AH$207,0)))</f>
        <v/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61.5" customHeight="1">
      <c r="A28" s="31" t="str">
        <f t="array" ref="A28">IF(21&gt;COUNT(Registar!$AH$8:$AH$207),"",INDEX(Registar!$AA$8:$AA$207,MATCH(21,Registar!$AH$8:$AH$207,0)))</f>
        <v/>
      </c>
      <c r="B28" s="31" t="str">
        <f t="array" ref="B28">IF(21&gt;COUNT(Registar!$AH$8:$AH$207),"",INDEX(Registar!$AB$8:$AB$207,MATCH(21,Registar!$AH$8:$AH$207,0)))</f>
        <v/>
      </c>
      <c r="C28" s="31" t="str">
        <f t="array" ref="C28">IF(21&gt;COUNT(Registar!$AH$8:$AH$207),"",INDEX(Registar!$H$8:$H$207,MATCH(21,Registar!$AH$8:$AH$207,0)))</f>
        <v/>
      </c>
      <c r="D28" s="38" t="str">
        <f t="array" ref="D28">IF(21&gt;COUNT(Registar!$AH$8:$AH$207),"",INDEX(Registar!$AD$8:$AD$207,MATCH(21,Registar!$AH$8:$AH$207,0)))</f>
        <v/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61.5" customHeight="1">
      <c r="A29" s="31" t="str">
        <f t="array" ref="A29">IF(22&gt;COUNT(Registar!$AH$8:$AH$207),"",INDEX(Registar!$AA$8:$AA$207,MATCH(22,Registar!$AH$8:$AH$207,0)))</f>
        <v/>
      </c>
      <c r="B29" s="31" t="str">
        <f t="array" ref="B29">IF(22&gt;COUNT(Registar!$AH$8:$AH$207),"",INDEX(Registar!$AB$8:$AB$207,MATCH(22,Registar!$AH$8:$AH$207,0)))</f>
        <v/>
      </c>
      <c r="C29" s="31" t="str">
        <f t="array" ref="C29">IF(22&gt;COUNT(Registar!$AH$8:$AH$207),"",INDEX(Registar!$H$8:$H$207,MATCH(22,Registar!$AH$8:$AH$207,0)))</f>
        <v/>
      </c>
      <c r="D29" s="38" t="str">
        <f t="array" ref="D29">IF(22&gt;COUNT(Registar!$AH$8:$AH$207),"",INDEX(Registar!$AD$8:$AD$207,MATCH(22,Registar!$AH$8:$AH$207,0)))</f>
        <v/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61.5" customHeight="1">
      <c r="A30" s="31" t="str">
        <f t="array" ref="A30">IF(23&gt;COUNT(Registar!$AH$8:$AH$207),"",INDEX(Registar!$AA$8:$AA$207,MATCH(23,Registar!$AH$8:$AH$207,0)))</f>
        <v/>
      </c>
      <c r="B30" s="31" t="str">
        <f t="array" ref="B30">IF(23&gt;COUNT(Registar!$AH$8:$AH$207),"",INDEX(Registar!$AB$8:$AB$207,MATCH(23,Registar!$AH$8:$AH$207,0)))</f>
        <v/>
      </c>
      <c r="C30" s="31" t="str">
        <f t="array" ref="C30">IF(23&gt;COUNT(Registar!$AH$8:$AH$207),"",INDEX(Registar!$H$8:$H$207,MATCH(23,Registar!$AH$8:$AH$207,0)))</f>
        <v/>
      </c>
      <c r="D30" s="38" t="str">
        <f t="array" ref="D30">IF(23&gt;COUNT(Registar!$AH$8:$AH$207),"",INDEX(Registar!$AD$8:$AD$207,MATCH(23,Registar!$AH$8:$AH$207,0)))</f>
        <v/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61.5" customHeight="1">
      <c r="A31" s="31" t="str">
        <f t="array" ref="A31">IF(24&gt;COUNT(Registar!$AH$8:$AH$207),"",INDEX(Registar!$AA$8:$AA$207,MATCH(24,Registar!$AH$8:$AH$207,0)))</f>
        <v/>
      </c>
      <c r="B31" s="31" t="str">
        <f t="array" ref="B31">IF(24&gt;COUNT(Registar!$AH$8:$AH$207),"",INDEX(Registar!$AB$8:$AB$207,MATCH(24,Registar!$AH$8:$AH$207,0)))</f>
        <v/>
      </c>
      <c r="C31" s="31" t="str">
        <f t="array" ref="C31">IF(24&gt;COUNT(Registar!$AH$8:$AH$207),"",INDEX(Registar!$H$8:$H$207,MATCH(24,Registar!$AH$8:$AH$207,0)))</f>
        <v/>
      </c>
      <c r="D31" s="38" t="str">
        <f t="array" ref="D31">IF(24&gt;COUNT(Registar!$AH$8:$AH$207),"",INDEX(Registar!$AD$8:$AD$207,MATCH(24,Registar!$AH$8:$AH$207,0)))</f>
        <v/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61.5" customHeight="1">
      <c r="A32" s="31" t="str">
        <f t="array" ref="A32">IF(25&gt;COUNT(Registar!$AH$8:$AH$207),"",INDEX(Registar!$AA$8:$AA$207,MATCH(25,Registar!$AH$8:$AH$207,0)))</f>
        <v/>
      </c>
      <c r="B32" s="31" t="str">
        <f t="array" ref="B32">IF(25&gt;COUNT(Registar!$AH$8:$AH$207),"",INDEX(Registar!$AB$8:$AB$207,MATCH(25,Registar!$AH$8:$AH$207,0)))</f>
        <v/>
      </c>
      <c r="C32" s="31" t="str">
        <f t="array" ref="C32">IF(25&gt;COUNT(Registar!$AH$8:$AH$207),"",INDEX(Registar!$H$8:$H$207,MATCH(25,Registar!$AH$8:$AH$207,0)))</f>
        <v/>
      </c>
      <c r="D32" s="38" t="str">
        <f t="array" ref="D32">IF(25&gt;COUNT(Registar!$AH$8:$AH$207),"",INDEX(Registar!$AD$8:$AD$207,MATCH(25,Registar!$AH$8:$AH$207,0)))</f>
        <v/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61.5" customHeight="1">
      <c r="A33" s="31" t="str">
        <f t="array" ref="A33">IF(26&gt;COUNT(Registar!$AH$8:$AH$207),"",INDEX(Registar!$AA$8:$AA$207,MATCH(26,Registar!$AH$8:$AH$207,0)))</f>
        <v/>
      </c>
      <c r="B33" s="31" t="str">
        <f t="array" ref="B33">IF(26&gt;COUNT(Registar!$AH$8:$AH$207),"",INDEX(Registar!$AB$8:$AB$207,MATCH(26,Registar!$AH$8:$AH$207,0)))</f>
        <v/>
      </c>
      <c r="C33" s="31" t="str">
        <f t="array" ref="C33">IF(26&gt;COUNT(Registar!$AH$8:$AH$207),"",INDEX(Registar!$H$8:$H$207,MATCH(26,Registar!$AH$8:$AH$207,0)))</f>
        <v/>
      </c>
      <c r="D33" s="38" t="str">
        <f t="array" ref="D33">IF(26&gt;COUNT(Registar!$AH$8:$AH$207),"",INDEX(Registar!$AD$8:$AD$207,MATCH(26,Registar!$AH$8:$AH$207,0)))</f>
        <v/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61.5" customHeight="1">
      <c r="A34" s="31" t="str">
        <f t="array" ref="A34">IF(27&gt;COUNT(Registar!$AH$8:$AH$207),"",INDEX(Registar!$AA$8:$AA$207,MATCH(27,Registar!$AH$8:$AH$207,0)))</f>
        <v/>
      </c>
      <c r="B34" s="31" t="str">
        <f t="array" ref="B34">IF(27&gt;COUNT(Registar!$AH$8:$AH$207),"",INDEX(Registar!$AB$8:$AB$207,MATCH(27,Registar!$AH$8:$AH$207,0)))</f>
        <v/>
      </c>
      <c r="C34" s="31" t="str">
        <f t="array" ref="C34">IF(27&gt;COUNT(Registar!$AH$8:$AH$207),"",INDEX(Registar!$H$8:$H$207,MATCH(27,Registar!$AH$8:$AH$207,0)))</f>
        <v/>
      </c>
      <c r="D34" s="38" t="str">
        <f t="array" ref="D34">IF(27&gt;COUNT(Registar!$AH$8:$AH$207),"",INDEX(Registar!$AD$8:$AD$207,MATCH(27,Registar!$AH$8:$AH$207,0)))</f>
        <v/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61.5" customHeight="1">
      <c r="A35" s="31" t="str">
        <f t="array" ref="A35">IF(28&gt;COUNT(Registar!$AH$8:$AH$207),"",INDEX(Registar!$AA$8:$AA$207,MATCH(28,Registar!$AH$8:$AH$207,0)))</f>
        <v/>
      </c>
      <c r="B35" s="31" t="str">
        <f t="array" ref="B35">IF(28&gt;COUNT(Registar!$AH$8:$AH$207),"",INDEX(Registar!$AB$8:$AB$207,MATCH(28,Registar!$AH$8:$AH$207,0)))</f>
        <v/>
      </c>
      <c r="C35" s="31" t="str">
        <f t="array" ref="C35">IF(28&gt;COUNT(Registar!$AH$8:$AH$207),"",INDEX(Registar!$H$8:$H$207,MATCH(28,Registar!$AH$8:$AH$207,0)))</f>
        <v/>
      </c>
      <c r="D35" s="38" t="str">
        <f t="array" ref="D35">IF(28&gt;COUNT(Registar!$AH$8:$AH$207),"",INDEX(Registar!$AD$8:$AD$207,MATCH(28,Registar!$AH$8:$AH$207,0)))</f>
        <v/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61.5" customHeight="1">
      <c r="A36" s="31" t="str">
        <f t="array" ref="A36">IF(29&gt;COUNT(Registar!$AH$8:$AH$207),"",INDEX(Registar!$AA$8:$AA$207,MATCH(29,Registar!$AH$8:$AH$207,0)))</f>
        <v/>
      </c>
      <c r="B36" s="31" t="str">
        <f t="array" ref="B36">IF(29&gt;COUNT(Registar!$AH$8:$AH$207),"",INDEX(Registar!$AB$8:$AB$207,MATCH(29,Registar!$AH$8:$AH$207,0)))</f>
        <v/>
      </c>
      <c r="C36" s="31" t="str">
        <f t="array" ref="C36">IF(29&gt;COUNT(Registar!$AH$8:$AH$207),"",INDEX(Registar!$H$8:$H$207,MATCH(29,Registar!$AH$8:$AH$207,0)))</f>
        <v/>
      </c>
      <c r="D36" s="38" t="str">
        <f t="array" ref="D36">IF(29&gt;COUNT(Registar!$AH$8:$AH$207),"",INDEX(Registar!$AD$8:$AD$207,MATCH(29,Registar!$AH$8:$AH$207,0)))</f>
        <v/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61.5" customHeight="1">
      <c r="A37" s="31" t="str">
        <f t="array" ref="A37">IF(30&gt;COUNT(Registar!$AH$8:$AH$207),"",INDEX(Registar!$AA$8:$AA$207,MATCH(30,Registar!$AH$8:$AH$207,0)))</f>
        <v/>
      </c>
      <c r="B37" s="31" t="str">
        <f t="array" ref="B37">IF(30&gt;COUNT(Registar!$AH$8:$AH$207),"",INDEX(Registar!$AB$8:$AB$207,MATCH(30,Registar!$AH$8:$AH$207,0)))</f>
        <v/>
      </c>
      <c r="C37" s="31" t="str">
        <f t="array" ref="C37">IF(30&gt;COUNT(Registar!$AH$8:$AH$207),"",INDEX(Registar!$H$8:$H$207,MATCH(30,Registar!$AH$8:$AH$207,0)))</f>
        <v/>
      </c>
      <c r="D37" s="38" t="str">
        <f t="array" ref="D37">IF(30&gt;COUNT(Registar!$AH$8:$AH$207),"",INDEX(Registar!$AD$8:$AD$207,MATCH(30,Registar!$AH$8:$AH$207,0)))</f>
        <v/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61.5" customHeight="1">
      <c r="A38" s="31" t="str">
        <f t="array" ref="A38">IF(31&gt;COUNT(Registar!$AH$8:$AH$207),"",INDEX(Registar!$AA$8:$AA$207,MATCH(31,Registar!$AH$8:$AH$207,0)))</f>
        <v/>
      </c>
      <c r="B38" s="31" t="str">
        <f t="array" ref="B38">IF(31&gt;COUNT(Registar!$AH$8:$AH$207),"",INDEX(Registar!$AB$8:$AB$207,MATCH(31,Registar!$AH$8:$AH$207,0)))</f>
        <v/>
      </c>
      <c r="C38" s="31" t="str">
        <f t="array" ref="C38">IF(31&gt;COUNT(Registar!$AH$8:$AH$207),"",INDEX(Registar!$H$8:$H$207,MATCH(31,Registar!$AH$8:$AH$207,0)))</f>
        <v/>
      </c>
      <c r="D38" s="38" t="str">
        <f t="array" ref="D38">IF(31&gt;COUNT(Registar!$AH$8:$AH$207),"",INDEX(Registar!$AD$8:$AD$207,MATCH(31,Registar!$AH$8:$AH$207,0)))</f>
        <v/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61.5" customHeight="1">
      <c r="A39" s="31" t="str">
        <f t="array" ref="A39">IF(32&gt;COUNT(Registar!$AH$8:$AH$207),"",INDEX(Registar!$AA$8:$AA$207,MATCH(32,Registar!$AH$8:$AH$207,0)))</f>
        <v/>
      </c>
      <c r="B39" s="31" t="str">
        <f t="array" ref="B39">IF(32&gt;COUNT(Registar!$AH$8:$AH$207),"",INDEX(Registar!$AB$8:$AB$207,MATCH(32,Registar!$AH$8:$AH$207,0)))</f>
        <v/>
      </c>
      <c r="C39" s="31" t="str">
        <f t="array" ref="C39">IF(32&gt;COUNT(Registar!$AH$8:$AH$207),"",INDEX(Registar!$H$8:$H$207,MATCH(32,Registar!$AH$8:$AH$207,0)))</f>
        <v/>
      </c>
      <c r="D39" s="38" t="str">
        <f t="array" ref="D39">IF(32&gt;COUNT(Registar!$AH$8:$AH$207),"",INDEX(Registar!$AD$8:$AD$207,MATCH(32,Registar!$AH$8:$AH$207,0)))</f>
        <v/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61.5" customHeight="1">
      <c r="A40" s="31" t="str">
        <f t="array" ref="A40">IF(33&gt;COUNT(Registar!$AH$8:$AH$207),"",INDEX(Registar!$AA$8:$AA$207,MATCH(33,Registar!$AH$8:$AH$207,0)))</f>
        <v/>
      </c>
      <c r="B40" s="31" t="str">
        <f t="array" ref="B40">IF(33&gt;COUNT(Registar!$AH$8:$AH$207),"",INDEX(Registar!$AB$8:$AB$207,MATCH(33,Registar!$AH$8:$AH$207,0)))</f>
        <v/>
      </c>
      <c r="C40" s="31" t="str">
        <f t="array" ref="C40">IF(33&gt;COUNT(Registar!$AH$8:$AH$207),"",INDEX(Registar!$H$8:$H$207,MATCH(33,Registar!$AH$8:$AH$207,0)))</f>
        <v/>
      </c>
      <c r="D40" s="38" t="str">
        <f t="array" ref="D40">IF(33&gt;COUNT(Registar!$AH$8:$AH$207),"",INDEX(Registar!$AD$8:$AD$207,MATCH(33,Registar!$AH$8:$AH$207,0)))</f>
        <v/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61.5" customHeight="1">
      <c r="A41" s="31" t="str">
        <f t="array" ref="A41">IF(34&gt;COUNT(Registar!$AH$8:$AH$207),"",INDEX(Registar!$AA$8:$AA$207,MATCH(34,Registar!$AH$8:$AH$207,0)))</f>
        <v/>
      </c>
      <c r="B41" s="31" t="str">
        <f t="array" ref="B41">IF(34&gt;COUNT(Registar!$AH$8:$AH$207),"",INDEX(Registar!$AB$8:$AB$207,MATCH(34,Registar!$AH$8:$AH$207,0)))</f>
        <v/>
      </c>
      <c r="C41" s="31" t="str">
        <f t="array" ref="C41">IF(34&gt;COUNT(Registar!$AH$8:$AH$207),"",INDEX(Registar!$H$8:$H$207,MATCH(34,Registar!$AH$8:$AH$207,0)))</f>
        <v/>
      </c>
      <c r="D41" s="38" t="str">
        <f t="array" ref="D41">IF(34&gt;COUNT(Registar!$AH$8:$AH$207),"",INDEX(Registar!$AD$8:$AD$207,MATCH(34,Registar!$AH$8:$AH$207,0)))</f>
        <v/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61.5" customHeight="1">
      <c r="A42" s="31" t="str">
        <f t="array" ref="A42">IF(35&gt;COUNT(Registar!$AH$8:$AH$207),"",INDEX(Registar!$AA$8:$AA$207,MATCH(35,Registar!$AH$8:$AH$207,0)))</f>
        <v/>
      </c>
      <c r="B42" s="31" t="str">
        <f t="array" ref="B42">IF(35&gt;COUNT(Registar!$AH$8:$AH$207),"",INDEX(Registar!$AB$8:$AB$207,MATCH(35,Registar!$AH$8:$AH$207,0)))</f>
        <v/>
      </c>
      <c r="C42" s="31" t="str">
        <f t="array" ref="C42">IF(35&gt;COUNT(Registar!$AH$8:$AH$207),"",INDEX(Registar!$H$8:$H$207,MATCH(35,Registar!$AH$8:$AH$207,0)))</f>
        <v/>
      </c>
      <c r="D42" s="38" t="str">
        <f t="array" ref="D42">IF(35&gt;COUNT(Registar!$AH$8:$AH$207),"",INDEX(Registar!$AD$8:$AD$207,MATCH(35,Registar!$AH$8:$AH$207,0)))</f>
        <v/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61.5" customHeight="1">
      <c r="A43" s="31" t="str">
        <f t="array" ref="A43">IF(36&gt;COUNT(Registar!$AH$8:$AH$207),"",INDEX(Registar!$AA$8:$AA$207,MATCH(36,Registar!$AH$8:$AH$207,0)))</f>
        <v/>
      </c>
      <c r="B43" s="31" t="str">
        <f t="array" ref="B43">IF(36&gt;COUNT(Registar!$AH$8:$AH$207),"",INDEX(Registar!$AB$8:$AB$207,MATCH(36,Registar!$AH$8:$AH$207,0)))</f>
        <v/>
      </c>
      <c r="C43" s="31" t="str">
        <f t="array" ref="C43">IF(36&gt;COUNT(Registar!$AH$8:$AH$207),"",INDEX(Registar!$H$8:$H$207,MATCH(36,Registar!$AH$8:$AH$207,0)))</f>
        <v/>
      </c>
      <c r="D43" s="38" t="str">
        <f t="array" ref="D43">IF(36&gt;COUNT(Registar!$AH$8:$AH$207),"",INDEX(Registar!$AD$8:$AD$207,MATCH(36,Registar!$AH$8:$AH$207,0)))</f>
        <v/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61.5" customHeight="1">
      <c r="A44" s="31" t="str">
        <f t="array" ref="A44">IF(37&gt;COUNT(Registar!$AH$8:$AH$207),"",INDEX(Registar!$AA$8:$AA$207,MATCH(37,Registar!$AH$8:$AH$207,0)))</f>
        <v/>
      </c>
      <c r="B44" s="31" t="str">
        <f t="array" ref="B44">IF(37&gt;COUNT(Registar!$AH$8:$AH$207),"",INDEX(Registar!$AB$8:$AB$207,MATCH(37,Registar!$AH$8:$AH$207,0)))</f>
        <v/>
      </c>
      <c r="C44" s="31" t="str">
        <f t="array" ref="C44">IF(37&gt;COUNT(Registar!$AH$8:$AH$207),"",INDEX(Registar!$H$8:$H$207,MATCH(37,Registar!$AH$8:$AH$207,0)))</f>
        <v/>
      </c>
      <c r="D44" s="38" t="str">
        <f t="array" ref="D44">IF(37&gt;COUNT(Registar!$AH$8:$AH$207),"",INDEX(Registar!$AD$8:$AD$207,MATCH(37,Registar!$AH$8:$AH$207,0)))</f>
        <v/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61.5" customHeight="1">
      <c r="A45" s="31" t="str">
        <f t="array" ref="A45">IF(38&gt;COUNT(Registar!$AH$8:$AH$207),"",INDEX(Registar!$AA$8:$AA$207,MATCH(38,Registar!$AH$8:$AH$207,0)))</f>
        <v/>
      </c>
      <c r="B45" s="31" t="str">
        <f t="array" ref="B45">IF(38&gt;COUNT(Registar!$AH$8:$AH$207),"",INDEX(Registar!$AB$8:$AB$207,MATCH(38,Registar!$AH$8:$AH$207,0)))</f>
        <v/>
      </c>
      <c r="C45" s="31" t="str">
        <f t="array" ref="C45">IF(38&gt;COUNT(Registar!$AH$8:$AH$207),"",INDEX(Registar!$H$8:$H$207,MATCH(38,Registar!$AH$8:$AH$207,0)))</f>
        <v/>
      </c>
      <c r="D45" s="38" t="str">
        <f t="array" ref="D45">IF(38&gt;COUNT(Registar!$AH$8:$AH$207),"",INDEX(Registar!$AD$8:$AD$207,MATCH(38,Registar!$AH$8:$AH$207,0)))</f>
        <v/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61.5" customHeight="1">
      <c r="A46" s="31" t="str">
        <f t="array" ref="A46">IF(39&gt;COUNT(Registar!$AH$8:$AH$207),"",INDEX(Registar!$AA$8:$AA$207,MATCH(39,Registar!$AH$8:$AH$207,0)))</f>
        <v/>
      </c>
      <c r="B46" s="31" t="str">
        <f t="array" ref="B46">IF(39&gt;COUNT(Registar!$AH$8:$AH$207),"",INDEX(Registar!$AB$8:$AB$207,MATCH(39,Registar!$AH$8:$AH$207,0)))</f>
        <v/>
      </c>
      <c r="C46" s="31" t="str">
        <f t="array" ref="C46">IF(39&gt;COUNT(Registar!$AH$8:$AH$207),"",INDEX(Registar!$H$8:$H$207,MATCH(39,Registar!$AH$8:$AH$207,0)))</f>
        <v/>
      </c>
      <c r="D46" s="38" t="str">
        <f t="array" ref="D46">IF(39&gt;COUNT(Registar!$AH$8:$AH$207),"",INDEX(Registar!$AD$8:$AD$207,MATCH(39,Registar!$AH$8:$AH$207,0)))</f>
        <v/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61.5" customHeight="1">
      <c r="A47" s="31" t="str">
        <f t="array" ref="A47">IF(40&gt;COUNT(Registar!$AH$8:$AH$207),"",INDEX(Registar!$AA$8:$AA$207,MATCH(40,Registar!$AH$8:$AH$207,0)))</f>
        <v/>
      </c>
      <c r="B47" s="31" t="str">
        <f t="array" ref="B47">IF(40&gt;COUNT(Registar!$AH$8:$AH$207),"",INDEX(Registar!$AB$8:$AB$207,MATCH(40,Registar!$AH$8:$AH$207,0)))</f>
        <v/>
      </c>
      <c r="C47" s="31" t="str">
        <f t="array" ref="C47">IF(40&gt;COUNT(Registar!$AH$8:$AH$207),"",INDEX(Registar!$H$8:$H$207,MATCH(40,Registar!$AH$8:$AH$207,0)))</f>
        <v/>
      </c>
      <c r="D47" s="38" t="str">
        <f t="array" ref="D47">IF(40&gt;COUNT(Registar!$AH$8:$AH$207),"",INDEX(Registar!$AD$8:$AD$207,MATCH(40,Registar!$AH$8:$AH$207,0)))</f>
        <v/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61.5" customHeight="1">
      <c r="A48" s="31" t="str">
        <f t="array" ref="A48">IF(41&gt;COUNT(Registar!$AH$8:$AH$207),"",INDEX(Registar!$AA$8:$AA$207,MATCH(41,Registar!$AH$8:$AH$207,0)))</f>
        <v/>
      </c>
      <c r="B48" s="31" t="str">
        <f t="array" ref="B48">IF(41&gt;COUNT(Registar!$AH$8:$AH$207),"",INDEX(Registar!$AB$8:$AB$207,MATCH(41,Registar!$AH$8:$AH$207,0)))</f>
        <v/>
      </c>
      <c r="C48" s="31" t="str">
        <f t="array" ref="C48">IF(41&gt;COUNT(Registar!$AH$8:$AH$207),"",INDEX(Registar!$H$8:$H$207,MATCH(41,Registar!$AH$8:$AH$207,0)))</f>
        <v/>
      </c>
      <c r="D48" s="38" t="str">
        <f t="array" ref="D48">IF(41&gt;COUNT(Registar!$AH$8:$AH$207),"",INDEX(Registar!$AD$8:$AD$207,MATCH(41,Registar!$AH$8:$AH$207,0)))</f>
        <v/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61.5" customHeight="1">
      <c r="A49" s="31" t="str">
        <f t="array" ref="A49">IF(42&gt;COUNT(Registar!$AH$8:$AH$207),"",INDEX(Registar!$AA$8:$AA$207,MATCH(42,Registar!$AH$8:$AH$207,0)))</f>
        <v/>
      </c>
      <c r="B49" s="31" t="str">
        <f t="array" ref="B49">IF(42&gt;COUNT(Registar!$AH$8:$AH$207),"",INDEX(Registar!$AB$8:$AB$207,MATCH(42,Registar!$AH$8:$AH$207,0)))</f>
        <v/>
      </c>
      <c r="C49" s="31" t="str">
        <f t="array" ref="C49">IF(42&gt;COUNT(Registar!$AH$8:$AH$207),"",INDEX(Registar!$H$8:$H$207,MATCH(42,Registar!$AH$8:$AH$207,0)))</f>
        <v/>
      </c>
      <c r="D49" s="38" t="str">
        <f t="array" ref="D49">IF(42&gt;COUNT(Registar!$AH$8:$AH$207),"",INDEX(Registar!$AD$8:$AD$207,MATCH(42,Registar!$AH$8:$AH$207,0)))</f>
        <v/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61.5" customHeight="1">
      <c r="A50" s="31" t="str">
        <f t="array" ref="A50">IF(43&gt;COUNT(Registar!$AH$8:$AH$207),"",INDEX(Registar!$AA$8:$AA$207,MATCH(43,Registar!$AH$8:$AH$207,0)))</f>
        <v/>
      </c>
      <c r="B50" s="31" t="str">
        <f t="array" ref="B50">IF(43&gt;COUNT(Registar!$AH$8:$AH$207),"",INDEX(Registar!$AB$8:$AB$207,MATCH(43,Registar!$AH$8:$AH$207,0)))</f>
        <v/>
      </c>
      <c r="C50" s="31" t="str">
        <f t="array" ref="C50">IF(43&gt;COUNT(Registar!$AH$8:$AH$207),"",INDEX(Registar!$H$8:$H$207,MATCH(43,Registar!$AH$8:$AH$207,0)))</f>
        <v/>
      </c>
      <c r="D50" s="38" t="str">
        <f t="array" ref="D50">IF(43&gt;COUNT(Registar!$AH$8:$AH$207),"",INDEX(Registar!$AD$8:$AD$207,MATCH(43,Registar!$AH$8:$AH$207,0)))</f>
        <v/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61.5" customHeight="1">
      <c r="A51" s="31" t="str">
        <f t="array" ref="A51">IF(44&gt;COUNT(Registar!$AH$8:$AH$207),"",INDEX(Registar!$AA$8:$AA$207,MATCH(44,Registar!$AH$8:$AH$207,0)))</f>
        <v/>
      </c>
      <c r="B51" s="31" t="str">
        <f t="array" ref="B51">IF(44&gt;COUNT(Registar!$AH$8:$AH$207),"",INDEX(Registar!$AB$8:$AB$207,MATCH(44,Registar!$AH$8:$AH$207,0)))</f>
        <v/>
      </c>
      <c r="C51" s="31" t="str">
        <f t="array" ref="C51">IF(44&gt;COUNT(Registar!$AH$8:$AH$207),"",INDEX(Registar!$H$8:$H$207,MATCH(44,Registar!$AH$8:$AH$207,0)))</f>
        <v/>
      </c>
      <c r="D51" s="38" t="str">
        <f t="array" ref="D51">IF(44&gt;COUNT(Registar!$AH$8:$AH$207),"",INDEX(Registar!$AD$8:$AD$207,MATCH(44,Registar!$AH$8:$AH$207,0)))</f>
        <v/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61.5" customHeight="1">
      <c r="A52" s="31" t="str">
        <f t="array" ref="A52">IF(45&gt;COUNT(Registar!$AH$8:$AH$207),"",INDEX(Registar!$AA$8:$AA$207,MATCH(45,Registar!$AH$8:$AH$207,0)))</f>
        <v/>
      </c>
      <c r="B52" s="31" t="str">
        <f t="array" ref="B52">IF(45&gt;COUNT(Registar!$AH$8:$AH$207),"",INDEX(Registar!$AB$8:$AB$207,MATCH(45,Registar!$AH$8:$AH$207,0)))</f>
        <v/>
      </c>
      <c r="C52" s="31" t="str">
        <f t="array" ref="C52">IF(45&gt;COUNT(Registar!$AH$8:$AH$207),"",INDEX(Registar!$H$8:$H$207,MATCH(45,Registar!$AH$8:$AH$207,0)))</f>
        <v/>
      </c>
      <c r="D52" s="38" t="str">
        <f t="array" ref="D52">IF(45&gt;COUNT(Registar!$AH$8:$AH$207),"",INDEX(Registar!$AD$8:$AD$207,MATCH(45,Registar!$AH$8:$AH$207,0)))</f>
        <v/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61.5" customHeight="1">
      <c r="A53" s="31" t="str">
        <f t="array" ref="A53">IF(46&gt;COUNT(Registar!$AH$8:$AH$207),"",INDEX(Registar!$AA$8:$AA$207,MATCH(46,Registar!$AH$8:$AH$207,0)))</f>
        <v/>
      </c>
      <c r="B53" s="31" t="str">
        <f t="array" ref="B53">IF(46&gt;COUNT(Registar!$AH$8:$AH$207),"",INDEX(Registar!$AB$8:$AB$207,MATCH(46,Registar!$AH$8:$AH$207,0)))</f>
        <v/>
      </c>
      <c r="C53" s="31" t="str">
        <f t="array" ref="C53">IF(46&gt;COUNT(Registar!$AH$8:$AH$207),"",INDEX(Registar!$H$8:$H$207,MATCH(46,Registar!$AH$8:$AH$207,0)))</f>
        <v/>
      </c>
      <c r="D53" s="38" t="str">
        <f t="array" ref="D53">IF(46&gt;COUNT(Registar!$AH$8:$AH$207),"",INDEX(Registar!$AD$8:$AD$207,MATCH(46,Registar!$AH$8:$AH$207,0)))</f>
        <v/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61.5" customHeight="1">
      <c r="A54" s="31" t="str">
        <f t="array" ref="A54">IF(47&gt;COUNT(Registar!$AH$8:$AH$207),"",INDEX(Registar!$AA$8:$AA$207,MATCH(47,Registar!$AH$8:$AH$207,0)))</f>
        <v/>
      </c>
      <c r="B54" s="31" t="str">
        <f t="array" ref="B54">IF(47&gt;COUNT(Registar!$AH$8:$AH$207),"",INDEX(Registar!$AB$8:$AB$207,MATCH(47,Registar!$AH$8:$AH$207,0)))</f>
        <v/>
      </c>
      <c r="C54" s="31" t="str">
        <f t="array" ref="C54">IF(47&gt;COUNT(Registar!$AH$8:$AH$207),"",INDEX(Registar!$H$8:$H$207,MATCH(47,Registar!$AH$8:$AH$207,0)))</f>
        <v/>
      </c>
      <c r="D54" s="38" t="str">
        <f t="array" ref="D54">IF(47&gt;COUNT(Registar!$AH$8:$AH$207),"",INDEX(Registar!$AD$8:$AD$207,MATCH(47,Registar!$AH$8:$AH$207,0)))</f>
        <v/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61.5" customHeight="1">
      <c r="A55" s="31" t="str">
        <f t="array" ref="A55">IF(48&gt;COUNT(Registar!$AH$8:$AH$207),"",INDEX(Registar!$AA$8:$AA$207,MATCH(48,Registar!$AH$8:$AH$207,0)))</f>
        <v/>
      </c>
      <c r="B55" s="31" t="str">
        <f t="array" ref="B55">IF(48&gt;COUNT(Registar!$AH$8:$AH$207),"",INDEX(Registar!$AB$8:$AB$207,MATCH(48,Registar!$AH$8:$AH$207,0)))</f>
        <v/>
      </c>
      <c r="C55" s="31" t="str">
        <f t="array" ref="C55">IF(48&gt;COUNT(Registar!$AH$8:$AH$207),"",INDEX(Registar!$H$8:$H$207,MATCH(48,Registar!$AH$8:$AH$207,0)))</f>
        <v/>
      </c>
      <c r="D55" s="38" t="str">
        <f t="array" ref="D55">IF(48&gt;COUNT(Registar!$AH$8:$AH$207),"",INDEX(Registar!$AD$8:$AD$207,MATCH(48,Registar!$AH$8:$AH$207,0)))</f>
        <v/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61.5" customHeight="1">
      <c r="A56" s="31" t="str">
        <f t="array" ref="A56">IF(49&gt;COUNT(Registar!$AH$8:$AH$207),"",INDEX(Registar!$AA$8:$AA$207,MATCH(49,Registar!$AH$8:$AH$207,0)))</f>
        <v/>
      </c>
      <c r="B56" s="31" t="str">
        <f t="array" ref="B56">IF(49&gt;COUNT(Registar!$AH$8:$AH$207),"",INDEX(Registar!$AB$8:$AB$207,MATCH(49,Registar!$AH$8:$AH$207,0)))</f>
        <v/>
      </c>
      <c r="C56" s="31" t="str">
        <f t="array" ref="C56">IF(49&gt;COUNT(Registar!$AH$8:$AH$207),"",INDEX(Registar!$H$8:$H$207,MATCH(49,Registar!$AH$8:$AH$207,0)))</f>
        <v/>
      </c>
      <c r="D56" s="38" t="str">
        <f t="array" ref="D56">IF(49&gt;COUNT(Registar!$AH$8:$AH$207),"",INDEX(Registar!$AD$8:$AD$207,MATCH(49,Registar!$AH$8:$AH$207,0)))</f>
        <v/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61.5" customHeight="1">
      <c r="A57" s="31" t="str">
        <f t="array" ref="A57">IF(50&gt;COUNT(Registar!$AH$8:$AH$207),"",INDEX(Registar!$AA$8:$AA$207,MATCH(50,Registar!$AH$8:$AH$207,0)))</f>
        <v/>
      </c>
      <c r="B57" s="31" t="str">
        <f t="array" ref="B57">IF(50&gt;COUNT(Registar!$AH$8:$AH$207),"",INDEX(Registar!$AB$8:$AB$207,MATCH(50,Registar!$AH$8:$AH$207,0)))</f>
        <v/>
      </c>
      <c r="C57" s="31" t="str">
        <f t="array" ref="C57">IF(50&gt;COUNT(Registar!$AH$8:$AH$207),"",INDEX(Registar!$H$8:$H$207,MATCH(50,Registar!$AH$8:$AH$207,0)))</f>
        <v/>
      </c>
      <c r="D57" s="38" t="str">
        <f t="array" ref="D57">IF(50&gt;COUNT(Registar!$AH$8:$AH$207),"",INDEX(Registar!$AD$8:$AD$207,MATCH(50,Registar!$AH$8:$AH$207,0)))</f>
        <v/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61.5" customHeight="1">
      <c r="A58" s="31" t="str">
        <f t="array" ref="A58">IF(51&gt;COUNT(Registar!$AH$8:$AH$207),"",INDEX(Registar!$AA$8:$AA$207,MATCH(51,Registar!$AH$8:$AH$207,0)))</f>
        <v/>
      </c>
      <c r="B58" s="31" t="str">
        <f t="array" ref="B58">IF(51&gt;COUNT(Registar!$AH$8:$AH$207),"",INDEX(Registar!$AB$8:$AB$207,MATCH(51,Registar!$AH$8:$AH$207,0)))</f>
        <v/>
      </c>
      <c r="C58" s="31" t="str">
        <f t="array" ref="C58">IF(51&gt;COUNT(Registar!$AH$8:$AH$207),"",INDEX(Registar!$H$8:$H$207,MATCH(51,Registar!$AH$8:$AH$207,0)))</f>
        <v/>
      </c>
      <c r="D58" s="38" t="str">
        <f t="array" ref="D58">IF(51&gt;COUNT(Registar!$AH$8:$AH$207),"",INDEX(Registar!$AD$8:$AD$207,MATCH(51,Registar!$AH$8:$AH$207,0)))</f>
        <v/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61.5" customHeight="1">
      <c r="A59" s="31" t="str">
        <f t="array" ref="A59">IF(52&gt;COUNT(Registar!$AH$8:$AH$207),"",INDEX(Registar!$AA$8:$AA$207,MATCH(52,Registar!$AH$8:$AH$207,0)))</f>
        <v/>
      </c>
      <c r="B59" s="31" t="str">
        <f t="array" ref="B59">IF(52&gt;COUNT(Registar!$AH$8:$AH$207),"",INDEX(Registar!$AB$8:$AB$207,MATCH(52,Registar!$AH$8:$AH$207,0)))</f>
        <v/>
      </c>
      <c r="C59" s="31" t="str">
        <f t="array" ref="C59">IF(52&gt;COUNT(Registar!$AH$8:$AH$207),"",INDEX(Registar!$H$8:$H$207,MATCH(52,Registar!$AH$8:$AH$207,0)))</f>
        <v/>
      </c>
      <c r="D59" s="38" t="str">
        <f t="array" ref="D59">IF(52&gt;COUNT(Registar!$AH$8:$AH$207),"",INDEX(Registar!$AD$8:$AD$207,MATCH(52,Registar!$AH$8:$AH$207,0)))</f>
        <v/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61.5" customHeight="1">
      <c r="A60" s="31" t="str">
        <f t="array" ref="A60">IF(53&gt;COUNT(Registar!$AH$8:$AH$207),"",INDEX(Registar!$AA$8:$AA$207,MATCH(53,Registar!$AH$8:$AH$207,0)))</f>
        <v/>
      </c>
      <c r="B60" s="31" t="str">
        <f t="array" ref="B60">IF(53&gt;COUNT(Registar!$AH$8:$AH$207),"",INDEX(Registar!$AB$8:$AB$207,MATCH(53,Registar!$AH$8:$AH$207,0)))</f>
        <v/>
      </c>
      <c r="C60" s="31" t="str">
        <f t="array" ref="C60">IF(53&gt;COUNT(Registar!$AH$8:$AH$207),"",INDEX(Registar!$H$8:$H$207,MATCH(53,Registar!$AH$8:$AH$207,0)))</f>
        <v/>
      </c>
      <c r="D60" s="38" t="str">
        <f t="array" ref="D60">IF(53&gt;COUNT(Registar!$AH$8:$AH$207),"",INDEX(Registar!$AD$8:$AD$207,MATCH(53,Registar!$AH$8:$AH$207,0)))</f>
        <v/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61.5" customHeight="1">
      <c r="A61" s="31" t="str">
        <f t="array" ref="A61">IF(54&gt;COUNT(Registar!$AH$8:$AH$207),"",INDEX(Registar!$AA$8:$AA$207,MATCH(54,Registar!$AH$8:$AH$207,0)))</f>
        <v/>
      </c>
      <c r="B61" s="31" t="str">
        <f t="array" ref="B61">IF(54&gt;COUNT(Registar!$AH$8:$AH$207),"",INDEX(Registar!$AB$8:$AB$207,MATCH(54,Registar!$AH$8:$AH$207,0)))</f>
        <v/>
      </c>
      <c r="C61" s="31" t="str">
        <f t="array" ref="C61">IF(54&gt;COUNT(Registar!$AH$8:$AH$207),"",INDEX(Registar!$H$8:$H$207,MATCH(54,Registar!$AH$8:$AH$207,0)))</f>
        <v/>
      </c>
      <c r="D61" s="38" t="str">
        <f t="array" ref="D61">IF(54&gt;COUNT(Registar!$AH$8:$AH$207),"",INDEX(Registar!$AD$8:$AD$207,MATCH(54,Registar!$AH$8:$AH$207,0)))</f>
        <v/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61.5" customHeight="1">
      <c r="A62" s="31" t="str">
        <f t="array" ref="A62">IF(55&gt;COUNT(Registar!$AH$8:$AH$207),"",INDEX(Registar!$AA$8:$AA$207,MATCH(55,Registar!$AH$8:$AH$207,0)))</f>
        <v/>
      </c>
      <c r="B62" s="31" t="str">
        <f t="array" ref="B62">IF(55&gt;COUNT(Registar!$AH$8:$AH$207),"",INDEX(Registar!$AB$8:$AB$207,MATCH(55,Registar!$AH$8:$AH$207,0)))</f>
        <v/>
      </c>
      <c r="C62" s="31" t="str">
        <f t="array" ref="C62">IF(55&gt;COUNT(Registar!$AH$8:$AH$207),"",INDEX(Registar!$H$8:$H$207,MATCH(55,Registar!$AH$8:$AH$207,0)))</f>
        <v/>
      </c>
      <c r="D62" s="38" t="str">
        <f t="array" ref="D62">IF(55&gt;COUNT(Registar!$AH$8:$AH$207),"",INDEX(Registar!$AD$8:$AD$207,MATCH(55,Registar!$AH$8:$AH$207,0)))</f>
        <v/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61.5" customHeight="1">
      <c r="A63" s="31" t="str">
        <f t="array" ref="A63">IF(56&gt;COUNT(Registar!$AH$8:$AH$207),"",INDEX(Registar!$AA$8:$AA$207,MATCH(56,Registar!$AH$8:$AH$207,0)))</f>
        <v/>
      </c>
      <c r="B63" s="31" t="str">
        <f t="array" ref="B63">IF(56&gt;COUNT(Registar!$AH$8:$AH$207),"",INDEX(Registar!$AB$8:$AB$207,MATCH(56,Registar!$AH$8:$AH$207,0)))</f>
        <v/>
      </c>
      <c r="C63" s="31" t="str">
        <f t="array" ref="C63">IF(56&gt;COUNT(Registar!$AH$8:$AH$207),"",INDEX(Registar!$H$8:$H$207,MATCH(56,Registar!$AH$8:$AH$207,0)))</f>
        <v/>
      </c>
      <c r="D63" s="38" t="str">
        <f t="array" ref="D63">IF(56&gt;COUNT(Registar!$AH$8:$AH$207),"",INDEX(Registar!$AD$8:$AD$207,MATCH(56,Registar!$AH$8:$AH$207,0)))</f>
        <v/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61.5" customHeight="1">
      <c r="A64" s="31" t="str">
        <f t="array" ref="A64">IF(57&gt;COUNT(Registar!$AH$8:$AH$207),"",INDEX(Registar!$AA$8:$AA$207,MATCH(57,Registar!$AH$8:$AH$207,0)))</f>
        <v/>
      </c>
      <c r="B64" s="31" t="str">
        <f t="array" ref="B64">IF(57&gt;COUNT(Registar!$AH$8:$AH$207),"",INDEX(Registar!$AB$8:$AB$207,MATCH(57,Registar!$AH$8:$AH$207,0)))</f>
        <v/>
      </c>
      <c r="C64" s="31" t="str">
        <f t="array" ref="C64">IF(57&gt;COUNT(Registar!$AH$8:$AH$207),"",INDEX(Registar!$H$8:$H$207,MATCH(57,Registar!$AH$8:$AH$207,0)))</f>
        <v/>
      </c>
      <c r="D64" s="38" t="str">
        <f t="array" ref="D64">IF(57&gt;COUNT(Registar!$AH$8:$AH$207),"",INDEX(Registar!$AD$8:$AD$207,MATCH(57,Registar!$AH$8:$AH$207,0)))</f>
        <v/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61.5" customHeight="1">
      <c r="A65" s="31" t="str">
        <f t="array" ref="A65">IF(58&gt;COUNT(Registar!$AH$8:$AH$207),"",INDEX(Registar!$AA$8:$AA$207,MATCH(58,Registar!$AH$8:$AH$207,0)))</f>
        <v/>
      </c>
      <c r="B65" s="31" t="str">
        <f t="array" ref="B65">IF(58&gt;COUNT(Registar!$AH$8:$AH$207),"",INDEX(Registar!$AB$8:$AB$207,MATCH(58,Registar!$AH$8:$AH$207,0)))</f>
        <v/>
      </c>
      <c r="C65" s="31" t="str">
        <f t="array" ref="C65">IF(58&gt;COUNT(Registar!$AH$8:$AH$207),"",INDEX(Registar!$H$8:$H$207,MATCH(58,Registar!$AH$8:$AH$207,0)))</f>
        <v/>
      </c>
      <c r="D65" s="38" t="str">
        <f t="array" ref="D65">IF(58&gt;COUNT(Registar!$AH$8:$AH$207),"",INDEX(Registar!$AD$8:$AD$207,MATCH(58,Registar!$AH$8:$AH$207,0)))</f>
        <v/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61.5" customHeight="1">
      <c r="A66" s="31" t="str">
        <f t="array" ref="A66">IF(59&gt;COUNT(Registar!$AH$8:$AH$207),"",INDEX(Registar!$AA$8:$AA$207,MATCH(59,Registar!$AH$8:$AH$207,0)))</f>
        <v/>
      </c>
      <c r="B66" s="31" t="str">
        <f t="array" ref="B66">IF(59&gt;COUNT(Registar!$AH$8:$AH$207),"",INDEX(Registar!$AB$8:$AB$207,MATCH(59,Registar!$AH$8:$AH$207,0)))</f>
        <v/>
      </c>
      <c r="C66" s="31" t="str">
        <f t="array" ref="C66">IF(59&gt;COUNT(Registar!$AH$8:$AH$207),"",INDEX(Registar!$H$8:$H$207,MATCH(59,Registar!$AH$8:$AH$207,0)))</f>
        <v/>
      </c>
      <c r="D66" s="38" t="str">
        <f t="array" ref="D66">IF(59&gt;COUNT(Registar!$AH$8:$AH$207),"",INDEX(Registar!$AD$8:$AD$207,MATCH(59,Registar!$AH$8:$AH$207,0)))</f>
        <v/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61.5" customHeight="1">
      <c r="A67" s="31" t="str">
        <f t="array" ref="A67">IF(60&gt;COUNT(Registar!$AH$8:$AH$207),"",INDEX(Registar!$AA$8:$AA$207,MATCH(60,Registar!$AH$8:$AH$207,0)))</f>
        <v/>
      </c>
      <c r="B67" s="31" t="str">
        <f t="array" ref="B67">IF(60&gt;COUNT(Registar!$AH$8:$AH$207),"",INDEX(Registar!$AB$8:$AB$207,MATCH(60,Registar!$AH$8:$AH$207,0)))</f>
        <v/>
      </c>
      <c r="C67" s="31" t="str">
        <f t="array" ref="C67">IF(60&gt;COUNT(Registar!$AH$8:$AH$207),"",INDEX(Registar!$H$8:$H$207,MATCH(60,Registar!$AH$8:$AH$207,0)))</f>
        <v/>
      </c>
      <c r="D67" s="38" t="str">
        <f t="array" ref="D67">IF(60&gt;COUNT(Registar!$AH$8:$AH$207),"",INDEX(Registar!$AD$8:$AD$207,MATCH(60,Registar!$AH$8:$AH$207,0)))</f>
        <v/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61.5" customHeight="1">
      <c r="A68" s="31" t="str">
        <f t="array" ref="A68">IF(61&gt;COUNT(Registar!$AH$8:$AH$207),"",INDEX(Registar!$AA$8:$AA$207,MATCH(61,Registar!$AH$8:$AH$207,0)))</f>
        <v/>
      </c>
      <c r="B68" s="31" t="str">
        <f t="array" ref="B68">IF(61&gt;COUNT(Registar!$AH$8:$AH$207),"",INDEX(Registar!$AB$8:$AB$207,MATCH(61,Registar!$AH$8:$AH$207,0)))</f>
        <v/>
      </c>
      <c r="C68" s="31" t="str">
        <f t="array" ref="C68">IF(61&gt;COUNT(Registar!$AH$8:$AH$207),"",INDEX(Registar!$H$8:$H$207,MATCH(61,Registar!$AH$8:$AH$207,0)))</f>
        <v/>
      </c>
      <c r="D68" s="38" t="str">
        <f t="array" ref="D68">IF(61&gt;COUNT(Registar!$AH$8:$AH$207),"",INDEX(Registar!$AD$8:$AD$207,MATCH(61,Registar!$AH$8:$AH$207,0)))</f>
        <v/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61.5" customHeight="1">
      <c r="A69" s="31" t="str">
        <f t="array" ref="A69">IF(62&gt;COUNT(Registar!$AH$8:$AH$207),"",INDEX(Registar!$AA$8:$AA$207,MATCH(62,Registar!$AH$8:$AH$207,0)))</f>
        <v/>
      </c>
      <c r="B69" s="31" t="str">
        <f t="array" ref="B69">IF(62&gt;COUNT(Registar!$AH$8:$AH$207),"",INDEX(Registar!$AB$8:$AB$207,MATCH(62,Registar!$AH$8:$AH$207,0)))</f>
        <v/>
      </c>
      <c r="C69" s="31" t="str">
        <f t="array" ref="C69">IF(62&gt;COUNT(Registar!$AH$8:$AH$207),"",INDEX(Registar!$H$8:$H$207,MATCH(62,Registar!$AH$8:$AH$207,0)))</f>
        <v/>
      </c>
      <c r="D69" s="38" t="str">
        <f t="array" ref="D69">IF(62&gt;COUNT(Registar!$AH$8:$AH$207),"",INDEX(Registar!$AD$8:$AD$207,MATCH(62,Registar!$AH$8:$AH$207,0)))</f>
        <v/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61.5" customHeight="1">
      <c r="A70" s="31" t="str">
        <f t="array" ref="A70">IF(63&gt;COUNT(Registar!$AH$8:$AH$207),"",INDEX(Registar!$AA$8:$AA$207,MATCH(63,Registar!$AH$8:$AH$207,0)))</f>
        <v/>
      </c>
      <c r="B70" s="31" t="str">
        <f t="array" ref="B70">IF(63&gt;COUNT(Registar!$AH$8:$AH$207),"",INDEX(Registar!$AB$8:$AB$207,MATCH(63,Registar!$AH$8:$AH$207,0)))</f>
        <v/>
      </c>
      <c r="C70" s="31" t="str">
        <f t="array" ref="C70">IF(63&gt;COUNT(Registar!$AH$8:$AH$207),"",INDEX(Registar!$H$8:$H$207,MATCH(63,Registar!$AH$8:$AH$207,0)))</f>
        <v/>
      </c>
      <c r="D70" s="38" t="str">
        <f t="array" ref="D70">IF(63&gt;COUNT(Registar!$AH$8:$AH$207),"",INDEX(Registar!$AD$8:$AD$207,MATCH(63,Registar!$AH$8:$AH$207,0)))</f>
        <v/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61.5" customHeight="1">
      <c r="A71" s="31" t="str">
        <f t="array" ref="A71">IF(64&gt;COUNT(Registar!$AH$8:$AH$207),"",INDEX(Registar!$AA$8:$AA$207,MATCH(64,Registar!$AH$8:$AH$207,0)))</f>
        <v/>
      </c>
      <c r="B71" s="31" t="str">
        <f t="array" ref="B71">IF(64&gt;COUNT(Registar!$AH$8:$AH$207),"",INDEX(Registar!$AB$8:$AB$207,MATCH(64,Registar!$AH$8:$AH$207,0)))</f>
        <v/>
      </c>
      <c r="C71" s="31" t="str">
        <f t="array" ref="C71">IF(64&gt;COUNT(Registar!$AH$8:$AH$207),"",INDEX(Registar!$H$8:$H$207,MATCH(64,Registar!$AH$8:$AH$207,0)))</f>
        <v/>
      </c>
      <c r="D71" s="38" t="str">
        <f t="array" ref="D71">IF(64&gt;COUNT(Registar!$AH$8:$AH$207),"",INDEX(Registar!$AD$8:$AD$207,MATCH(64,Registar!$AH$8:$AH$207,0)))</f>
        <v/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61.5" customHeight="1">
      <c r="A72" s="31" t="str">
        <f t="array" ref="A72">IF(65&gt;COUNT(Registar!$AH$8:$AH$207),"",INDEX(Registar!$AA$8:$AA$207,MATCH(65,Registar!$AH$8:$AH$207,0)))</f>
        <v/>
      </c>
      <c r="B72" s="31" t="str">
        <f t="array" ref="B72">IF(65&gt;COUNT(Registar!$AH$8:$AH$207),"",INDEX(Registar!$AB$8:$AB$207,MATCH(65,Registar!$AH$8:$AH$207,0)))</f>
        <v/>
      </c>
      <c r="C72" s="31" t="str">
        <f t="array" ref="C72">IF(65&gt;COUNT(Registar!$AH$8:$AH$207),"",INDEX(Registar!$H$8:$H$207,MATCH(65,Registar!$AH$8:$AH$207,0)))</f>
        <v/>
      </c>
      <c r="D72" s="38" t="str">
        <f t="array" ref="D72">IF(65&gt;COUNT(Registar!$AH$8:$AH$207),"",INDEX(Registar!$AD$8:$AD$207,MATCH(65,Registar!$AH$8:$AH$207,0)))</f>
        <v/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61.5" customHeight="1">
      <c r="A73" s="31" t="str">
        <f t="array" ref="A73">IF(66&gt;COUNT(Registar!$AH$8:$AH$207),"",INDEX(Registar!$AA$8:$AA$207,MATCH(66,Registar!$AH$8:$AH$207,0)))</f>
        <v/>
      </c>
      <c r="B73" s="31" t="str">
        <f t="array" ref="B73">IF(66&gt;COUNT(Registar!$AH$8:$AH$207),"",INDEX(Registar!$AB$8:$AB$207,MATCH(66,Registar!$AH$8:$AH$207,0)))</f>
        <v/>
      </c>
      <c r="C73" s="31" t="str">
        <f t="array" ref="C73">IF(66&gt;COUNT(Registar!$AH$8:$AH$207),"",INDEX(Registar!$H$8:$H$207,MATCH(66,Registar!$AH$8:$AH$207,0)))</f>
        <v/>
      </c>
      <c r="D73" s="38" t="str">
        <f t="array" ref="D73">IF(66&gt;COUNT(Registar!$AH$8:$AH$207),"",INDEX(Registar!$AD$8:$AD$207,MATCH(66,Registar!$AH$8:$AH$207,0)))</f>
        <v/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61.5" customHeight="1">
      <c r="A74" s="31" t="str">
        <f t="array" ref="A74">IF(67&gt;COUNT(Registar!$AH$8:$AH$207),"",INDEX(Registar!$AA$8:$AA$207,MATCH(67,Registar!$AH$8:$AH$207,0)))</f>
        <v/>
      </c>
      <c r="B74" s="31" t="str">
        <f t="array" ref="B74">IF(67&gt;COUNT(Registar!$AH$8:$AH$207),"",INDEX(Registar!$AB$8:$AB$207,MATCH(67,Registar!$AH$8:$AH$207,0)))</f>
        <v/>
      </c>
      <c r="C74" s="31" t="str">
        <f t="array" ref="C74">IF(67&gt;COUNT(Registar!$AH$8:$AH$207),"",INDEX(Registar!$H$8:$H$207,MATCH(67,Registar!$AH$8:$AH$207,0)))</f>
        <v/>
      </c>
      <c r="D74" s="38" t="str">
        <f t="array" ref="D74">IF(67&gt;COUNT(Registar!$AH$8:$AH$207),"",INDEX(Registar!$AD$8:$AD$207,MATCH(67,Registar!$AH$8:$AH$207,0)))</f>
        <v/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61.5" customHeight="1">
      <c r="A75" s="31" t="str">
        <f t="array" ref="A75">IF(68&gt;COUNT(Registar!$AH$8:$AH$207),"",INDEX(Registar!$AA$8:$AA$207,MATCH(68,Registar!$AH$8:$AH$207,0)))</f>
        <v/>
      </c>
      <c r="B75" s="31" t="str">
        <f t="array" ref="B75">IF(68&gt;COUNT(Registar!$AH$8:$AH$207),"",INDEX(Registar!$AB$8:$AB$207,MATCH(68,Registar!$AH$8:$AH$207,0)))</f>
        <v/>
      </c>
      <c r="C75" s="31" t="str">
        <f t="array" ref="C75">IF(68&gt;COUNT(Registar!$AH$8:$AH$207),"",INDEX(Registar!$H$8:$H$207,MATCH(68,Registar!$AH$8:$AH$207,0)))</f>
        <v/>
      </c>
      <c r="D75" s="38" t="str">
        <f t="array" ref="D75">IF(68&gt;COUNT(Registar!$AH$8:$AH$207),"",INDEX(Registar!$AD$8:$AD$207,MATCH(68,Registar!$AH$8:$AH$207,0)))</f>
        <v/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61.5" customHeight="1">
      <c r="A76" s="31" t="str">
        <f t="array" ref="A76">IF(69&gt;COUNT(Registar!$AH$8:$AH$207),"",INDEX(Registar!$AA$8:$AA$207,MATCH(69,Registar!$AH$8:$AH$207,0)))</f>
        <v/>
      </c>
      <c r="B76" s="31" t="str">
        <f t="array" ref="B76">IF(69&gt;COUNT(Registar!$AH$8:$AH$207),"",INDEX(Registar!$AB$8:$AB$207,MATCH(69,Registar!$AH$8:$AH$207,0)))</f>
        <v/>
      </c>
      <c r="C76" s="31" t="str">
        <f t="array" ref="C76">IF(69&gt;COUNT(Registar!$AH$8:$AH$207),"",INDEX(Registar!$H$8:$H$207,MATCH(69,Registar!$AH$8:$AH$207,0)))</f>
        <v/>
      </c>
      <c r="D76" s="38" t="str">
        <f t="array" ref="D76">IF(69&gt;COUNT(Registar!$AH$8:$AH$207),"",INDEX(Registar!$AD$8:$AD$207,MATCH(69,Registar!$AH$8:$AH$207,0)))</f>
        <v/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61.5" customHeight="1">
      <c r="A77" s="31" t="str">
        <f t="array" ref="A77">IF(70&gt;COUNT(Registar!$AH$8:$AH$207),"",INDEX(Registar!$AA$8:$AA$207,MATCH(70,Registar!$AH$8:$AH$207,0)))</f>
        <v/>
      </c>
      <c r="B77" s="31" t="str">
        <f t="array" ref="B77">IF(70&gt;COUNT(Registar!$AH$8:$AH$207),"",INDEX(Registar!$AB$8:$AB$207,MATCH(70,Registar!$AH$8:$AH$207,0)))</f>
        <v/>
      </c>
      <c r="C77" s="31" t="str">
        <f t="array" ref="C77">IF(70&gt;COUNT(Registar!$AH$8:$AH$207),"",INDEX(Registar!$H$8:$H$207,MATCH(70,Registar!$AH$8:$AH$207,0)))</f>
        <v/>
      </c>
      <c r="D77" s="38" t="str">
        <f t="array" ref="D77">IF(70&gt;COUNT(Registar!$AH$8:$AH$207),"",INDEX(Registar!$AD$8:$AD$207,MATCH(70,Registar!$AH$8:$AH$207,0)))</f>
        <v/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61.5" customHeight="1">
      <c r="A78" s="31" t="str">
        <f t="array" ref="A78">IF(71&gt;COUNT(Registar!$AH$8:$AH$207),"",INDEX(Registar!$AA$8:$AA$207,MATCH(71,Registar!$AH$8:$AH$207,0)))</f>
        <v/>
      </c>
      <c r="B78" s="31" t="str">
        <f t="array" ref="B78">IF(71&gt;COUNT(Registar!$AH$8:$AH$207),"",INDEX(Registar!$AB$8:$AB$207,MATCH(71,Registar!$AH$8:$AH$207,0)))</f>
        <v/>
      </c>
      <c r="C78" s="31" t="str">
        <f t="array" ref="C78">IF(71&gt;COUNT(Registar!$AH$8:$AH$207),"",INDEX(Registar!$H$8:$H$207,MATCH(71,Registar!$AH$8:$AH$207,0)))</f>
        <v/>
      </c>
      <c r="D78" s="38" t="str">
        <f t="array" ref="D78">IF(71&gt;COUNT(Registar!$AH$8:$AH$207),"",INDEX(Registar!$AD$8:$AD$207,MATCH(71,Registar!$AH$8:$AH$207,0)))</f>
        <v/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61.5" customHeight="1">
      <c r="A79" s="31" t="str">
        <f t="array" ref="A79">IF(72&gt;COUNT(Registar!$AH$8:$AH$207),"",INDEX(Registar!$AA$8:$AA$207,MATCH(72,Registar!$AH$8:$AH$207,0)))</f>
        <v/>
      </c>
      <c r="B79" s="31" t="str">
        <f t="array" ref="B79">IF(72&gt;COUNT(Registar!$AH$8:$AH$207),"",INDEX(Registar!$AB$8:$AB$207,MATCH(72,Registar!$AH$8:$AH$207,0)))</f>
        <v/>
      </c>
      <c r="C79" s="31" t="str">
        <f t="array" ref="C79">IF(72&gt;COUNT(Registar!$AH$8:$AH$207),"",INDEX(Registar!$H$8:$H$207,MATCH(72,Registar!$AH$8:$AH$207,0)))</f>
        <v/>
      </c>
      <c r="D79" s="38" t="str">
        <f t="array" ref="D79">IF(72&gt;COUNT(Registar!$AH$8:$AH$207),"",INDEX(Registar!$AD$8:$AD$207,MATCH(72,Registar!$AH$8:$AH$207,0)))</f>
        <v/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61.5" customHeight="1">
      <c r="A80" s="31" t="str">
        <f t="array" ref="A80">IF(73&gt;COUNT(Registar!$AH$8:$AH$207),"",INDEX(Registar!$AA$8:$AA$207,MATCH(73,Registar!$AH$8:$AH$207,0)))</f>
        <v/>
      </c>
      <c r="B80" s="31" t="str">
        <f t="array" ref="B80">IF(73&gt;COUNT(Registar!$AH$8:$AH$207),"",INDEX(Registar!$AB$8:$AB$207,MATCH(73,Registar!$AH$8:$AH$207,0)))</f>
        <v/>
      </c>
      <c r="C80" s="31" t="str">
        <f t="array" ref="C80">IF(73&gt;COUNT(Registar!$AH$8:$AH$207),"",INDEX(Registar!$H$8:$H$207,MATCH(73,Registar!$AH$8:$AH$207,0)))</f>
        <v/>
      </c>
      <c r="D80" s="38" t="str">
        <f t="array" ref="D80">IF(73&gt;COUNT(Registar!$AH$8:$AH$207),"",INDEX(Registar!$AD$8:$AD$207,MATCH(73,Registar!$AH$8:$AH$207,0)))</f>
        <v/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61.5" customHeight="1">
      <c r="A81" s="31" t="str">
        <f t="array" ref="A81">IF(74&gt;COUNT(Registar!$AH$8:$AH$207),"",INDEX(Registar!$AA$8:$AA$207,MATCH(74,Registar!$AH$8:$AH$207,0)))</f>
        <v/>
      </c>
      <c r="B81" s="31" t="str">
        <f t="array" ref="B81">IF(74&gt;COUNT(Registar!$AH$8:$AH$207),"",INDEX(Registar!$AB$8:$AB$207,MATCH(74,Registar!$AH$8:$AH$207,0)))</f>
        <v/>
      </c>
      <c r="C81" s="31" t="str">
        <f t="array" ref="C81">IF(74&gt;COUNT(Registar!$AH$8:$AH$207),"",INDEX(Registar!$H$8:$H$207,MATCH(74,Registar!$AH$8:$AH$207,0)))</f>
        <v/>
      </c>
      <c r="D81" s="38" t="str">
        <f t="array" ref="D81">IF(74&gt;COUNT(Registar!$AH$8:$AH$207),"",INDEX(Registar!$AD$8:$AD$207,MATCH(74,Registar!$AH$8:$AH$207,0)))</f>
        <v/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61.5" customHeight="1">
      <c r="A82" s="31" t="str">
        <f t="array" ref="A82">IF(75&gt;COUNT(Registar!$AH$8:$AH$207),"",INDEX(Registar!$AA$8:$AA$207,MATCH(75,Registar!$AH$8:$AH$207,0)))</f>
        <v/>
      </c>
      <c r="B82" s="31" t="str">
        <f t="array" ref="B82">IF(75&gt;COUNT(Registar!$AH$8:$AH$207),"",INDEX(Registar!$AB$8:$AB$207,MATCH(75,Registar!$AH$8:$AH$207,0)))</f>
        <v/>
      </c>
      <c r="C82" s="31" t="str">
        <f t="array" ref="C82">IF(75&gt;COUNT(Registar!$AH$8:$AH$207),"",INDEX(Registar!$H$8:$H$207,MATCH(75,Registar!$AH$8:$AH$207,0)))</f>
        <v/>
      </c>
      <c r="D82" s="38" t="str">
        <f t="array" ref="D82">IF(75&gt;COUNT(Registar!$AH$8:$AH$207),"",INDEX(Registar!$AD$8:$AD$207,MATCH(75,Registar!$AH$8:$AH$207,0)))</f>
        <v/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61.5" customHeight="1">
      <c r="A83" s="31" t="str">
        <f t="array" ref="A83">IF(76&gt;COUNT(Registar!$AH$8:$AH$207),"",INDEX(Registar!$AA$8:$AA$207,MATCH(76,Registar!$AH$8:$AH$207,0)))</f>
        <v/>
      </c>
      <c r="B83" s="31" t="str">
        <f t="array" ref="B83">IF(76&gt;COUNT(Registar!$AH$8:$AH$207),"",INDEX(Registar!$AB$8:$AB$207,MATCH(76,Registar!$AH$8:$AH$207,0)))</f>
        <v/>
      </c>
      <c r="C83" s="31" t="str">
        <f t="array" ref="C83">IF(76&gt;COUNT(Registar!$AH$8:$AH$207),"",INDEX(Registar!$H$8:$H$207,MATCH(76,Registar!$AH$8:$AH$207,0)))</f>
        <v/>
      </c>
      <c r="D83" s="38" t="str">
        <f t="array" ref="D83">IF(76&gt;COUNT(Registar!$AH$8:$AH$207),"",INDEX(Registar!$AD$8:$AD$207,MATCH(76,Registar!$AH$8:$AH$207,0)))</f>
        <v/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61.5" customHeight="1">
      <c r="A84" s="31" t="str">
        <f t="array" ref="A84">IF(77&gt;COUNT(Registar!$AH$8:$AH$207),"",INDEX(Registar!$AA$8:$AA$207,MATCH(77,Registar!$AH$8:$AH$207,0)))</f>
        <v/>
      </c>
      <c r="B84" s="31" t="str">
        <f t="array" ref="B84">IF(77&gt;COUNT(Registar!$AH$8:$AH$207),"",INDEX(Registar!$AB$8:$AB$207,MATCH(77,Registar!$AH$8:$AH$207,0)))</f>
        <v/>
      </c>
      <c r="C84" s="31" t="str">
        <f t="array" ref="C84">IF(77&gt;COUNT(Registar!$AH$8:$AH$207),"",INDEX(Registar!$H$8:$H$207,MATCH(77,Registar!$AH$8:$AH$207,0)))</f>
        <v/>
      </c>
      <c r="D84" s="38" t="str">
        <f t="array" ref="D84">IF(77&gt;COUNT(Registar!$AH$8:$AH$207),"",INDEX(Registar!$AD$8:$AD$207,MATCH(77,Registar!$AH$8:$AH$207,0)))</f>
        <v/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61.5" customHeight="1">
      <c r="A85" s="31" t="str">
        <f t="array" ref="A85">IF(78&gt;COUNT(Registar!$AH$8:$AH$207),"",INDEX(Registar!$AA$8:$AA$207,MATCH(78,Registar!$AH$8:$AH$207,0)))</f>
        <v/>
      </c>
      <c r="B85" s="31" t="str">
        <f t="array" ref="B85">IF(78&gt;COUNT(Registar!$AH$8:$AH$207),"",INDEX(Registar!$AB$8:$AB$207,MATCH(78,Registar!$AH$8:$AH$207,0)))</f>
        <v/>
      </c>
      <c r="C85" s="31" t="str">
        <f t="array" ref="C85">IF(78&gt;COUNT(Registar!$AH$8:$AH$207),"",INDEX(Registar!$H$8:$H$207,MATCH(78,Registar!$AH$8:$AH$207,0)))</f>
        <v/>
      </c>
      <c r="D85" s="38" t="str">
        <f t="array" ref="D85">IF(78&gt;COUNT(Registar!$AH$8:$AH$207),"",INDEX(Registar!$AD$8:$AD$207,MATCH(78,Registar!$AH$8:$AH$207,0)))</f>
        <v/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61.5" customHeight="1">
      <c r="A86" s="31" t="str">
        <f t="array" ref="A86">IF(79&gt;COUNT(Registar!$AH$8:$AH$207),"",INDEX(Registar!$AA$8:$AA$207,MATCH(79,Registar!$AH$8:$AH$207,0)))</f>
        <v/>
      </c>
      <c r="B86" s="31" t="str">
        <f t="array" ref="B86">IF(79&gt;COUNT(Registar!$AH$8:$AH$207),"",INDEX(Registar!$AB$8:$AB$207,MATCH(79,Registar!$AH$8:$AH$207,0)))</f>
        <v/>
      </c>
      <c r="C86" s="31" t="str">
        <f t="array" ref="C86">IF(79&gt;COUNT(Registar!$AH$8:$AH$207),"",INDEX(Registar!$H$8:$H$207,MATCH(79,Registar!$AH$8:$AH$207,0)))</f>
        <v/>
      </c>
      <c r="D86" s="38" t="str">
        <f t="array" ref="D86">IF(79&gt;COUNT(Registar!$AH$8:$AH$207),"",INDEX(Registar!$AD$8:$AD$207,MATCH(79,Registar!$AH$8:$AH$207,0)))</f>
        <v/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61.5" customHeight="1">
      <c r="A87" s="31" t="str">
        <f t="array" ref="A87">IF(80&gt;COUNT(Registar!$AH$8:$AH$207),"",INDEX(Registar!$AA$8:$AA$207,MATCH(80,Registar!$AH$8:$AH$207,0)))</f>
        <v/>
      </c>
      <c r="B87" s="31" t="str">
        <f t="array" ref="B87">IF(80&gt;COUNT(Registar!$AH$8:$AH$207),"",INDEX(Registar!$AB$8:$AB$207,MATCH(80,Registar!$AH$8:$AH$207,0)))</f>
        <v/>
      </c>
      <c r="C87" s="31" t="str">
        <f t="array" ref="C87">IF(80&gt;COUNT(Registar!$AH$8:$AH$207),"",INDEX(Registar!$H$8:$H$207,MATCH(80,Registar!$AH$8:$AH$207,0)))</f>
        <v/>
      </c>
      <c r="D87" s="38" t="str">
        <f t="array" ref="D87">IF(80&gt;COUNT(Registar!$AH$8:$AH$207),"",INDEX(Registar!$AD$8:$AD$207,MATCH(80,Registar!$AH$8:$AH$207,0)))</f>
        <v/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61.5" customHeight="1">
      <c r="A88" s="31" t="str">
        <f t="array" ref="A88">IF(81&gt;COUNT(Registar!$AH$8:$AH$207),"",INDEX(Registar!$AA$8:$AA$207,MATCH(81,Registar!$AH$8:$AH$207,0)))</f>
        <v/>
      </c>
      <c r="B88" s="31" t="str">
        <f t="array" ref="B88">IF(81&gt;COUNT(Registar!$AH$8:$AH$207),"",INDEX(Registar!$AB$8:$AB$207,MATCH(81,Registar!$AH$8:$AH$207,0)))</f>
        <v/>
      </c>
      <c r="C88" s="31" t="str">
        <f t="array" ref="C88">IF(81&gt;COUNT(Registar!$AH$8:$AH$207),"",INDEX(Registar!$H$8:$H$207,MATCH(81,Registar!$AH$8:$AH$207,0)))</f>
        <v/>
      </c>
      <c r="D88" s="38" t="str">
        <f t="array" ref="D88">IF(81&gt;COUNT(Registar!$AH$8:$AH$207),"",INDEX(Registar!$AD$8:$AD$207,MATCH(81,Registar!$AH$8:$AH$207,0)))</f>
        <v/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61.5" customHeight="1">
      <c r="A89" s="31" t="str">
        <f t="array" ref="A89">IF(82&gt;COUNT(Registar!$AH$8:$AH$207),"",INDEX(Registar!$AA$8:$AA$207,MATCH(82,Registar!$AH$8:$AH$207,0)))</f>
        <v/>
      </c>
      <c r="B89" s="31" t="str">
        <f t="array" ref="B89">IF(82&gt;COUNT(Registar!$AH$8:$AH$207),"",INDEX(Registar!$AB$8:$AB$207,MATCH(82,Registar!$AH$8:$AH$207,0)))</f>
        <v/>
      </c>
      <c r="C89" s="31" t="str">
        <f t="array" ref="C89">IF(82&gt;COUNT(Registar!$AH$8:$AH$207),"",INDEX(Registar!$H$8:$H$207,MATCH(82,Registar!$AH$8:$AH$207,0)))</f>
        <v/>
      </c>
      <c r="D89" s="38" t="str">
        <f t="array" ref="D89">IF(82&gt;COUNT(Registar!$AH$8:$AH$207),"",INDEX(Registar!$AD$8:$AD$207,MATCH(82,Registar!$AH$8:$AH$207,0)))</f>
        <v/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61.5" customHeight="1">
      <c r="A90" s="31" t="str">
        <f t="array" ref="A90">IF(83&gt;COUNT(Registar!$AH$8:$AH$207),"",INDEX(Registar!$AA$8:$AA$207,MATCH(83,Registar!$AH$8:$AH$207,0)))</f>
        <v/>
      </c>
      <c r="B90" s="31" t="str">
        <f t="array" ref="B90">IF(83&gt;COUNT(Registar!$AH$8:$AH$207),"",INDEX(Registar!$AB$8:$AB$207,MATCH(83,Registar!$AH$8:$AH$207,0)))</f>
        <v/>
      </c>
      <c r="C90" s="31" t="str">
        <f t="array" ref="C90">IF(83&gt;COUNT(Registar!$AH$8:$AH$207),"",INDEX(Registar!$H$8:$H$207,MATCH(83,Registar!$AH$8:$AH$207,0)))</f>
        <v/>
      </c>
      <c r="D90" s="38" t="str">
        <f t="array" ref="D90">IF(83&gt;COUNT(Registar!$AH$8:$AH$207),"",INDEX(Registar!$AD$8:$AD$207,MATCH(83,Registar!$AH$8:$AH$207,0)))</f>
        <v/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61.5" customHeight="1">
      <c r="A91" s="31" t="str">
        <f t="array" ref="A91">IF(84&gt;COUNT(Registar!$AH$8:$AH$207),"",INDEX(Registar!$AA$8:$AA$207,MATCH(84,Registar!$AH$8:$AH$207,0)))</f>
        <v/>
      </c>
      <c r="B91" s="31" t="str">
        <f t="array" ref="B91">IF(84&gt;COUNT(Registar!$AH$8:$AH$207),"",INDEX(Registar!$AB$8:$AB$207,MATCH(84,Registar!$AH$8:$AH$207,0)))</f>
        <v/>
      </c>
      <c r="C91" s="31" t="str">
        <f t="array" ref="C91">IF(84&gt;COUNT(Registar!$AH$8:$AH$207),"",INDEX(Registar!$H$8:$H$207,MATCH(84,Registar!$AH$8:$AH$207,0)))</f>
        <v/>
      </c>
      <c r="D91" s="38" t="str">
        <f t="array" ref="D91">IF(84&gt;COUNT(Registar!$AH$8:$AH$207),"",INDEX(Registar!$AD$8:$AD$207,MATCH(84,Registar!$AH$8:$AH$207,0)))</f>
        <v/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61.5" customHeight="1">
      <c r="A92" s="31" t="str">
        <f t="array" ref="A92">IF(85&gt;COUNT(Registar!$AH$8:$AH$207),"",INDEX(Registar!$AA$8:$AA$207,MATCH(85,Registar!$AH$8:$AH$207,0)))</f>
        <v/>
      </c>
      <c r="B92" s="31" t="str">
        <f t="array" ref="B92">IF(85&gt;COUNT(Registar!$AH$8:$AH$207),"",INDEX(Registar!$AB$8:$AB$207,MATCH(85,Registar!$AH$8:$AH$207,0)))</f>
        <v/>
      </c>
      <c r="C92" s="31" t="str">
        <f t="array" ref="C92">IF(85&gt;COUNT(Registar!$AH$8:$AH$207),"",INDEX(Registar!$H$8:$H$207,MATCH(85,Registar!$AH$8:$AH$207,0)))</f>
        <v/>
      </c>
      <c r="D92" s="38" t="str">
        <f t="array" ref="D92">IF(85&gt;COUNT(Registar!$AH$8:$AH$207),"",INDEX(Registar!$AD$8:$AD$207,MATCH(85,Registar!$AH$8:$AH$207,0)))</f>
        <v/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61.5" customHeight="1">
      <c r="A93" s="31" t="str">
        <f t="array" ref="A93">IF(86&gt;COUNT(Registar!$AH$8:$AH$207),"",INDEX(Registar!$AA$8:$AA$207,MATCH(86,Registar!$AH$8:$AH$207,0)))</f>
        <v/>
      </c>
      <c r="B93" s="31" t="str">
        <f t="array" ref="B93">IF(86&gt;COUNT(Registar!$AH$8:$AH$207),"",INDEX(Registar!$AB$8:$AB$207,MATCH(86,Registar!$AH$8:$AH$207,0)))</f>
        <v/>
      </c>
      <c r="C93" s="31" t="str">
        <f t="array" ref="C93">IF(86&gt;COUNT(Registar!$AH$8:$AH$207),"",INDEX(Registar!$H$8:$H$207,MATCH(86,Registar!$AH$8:$AH$207,0)))</f>
        <v/>
      </c>
      <c r="D93" s="38" t="str">
        <f t="array" ref="D93">IF(86&gt;COUNT(Registar!$AH$8:$AH$207),"",INDEX(Registar!$AD$8:$AD$207,MATCH(86,Registar!$AH$8:$AH$207,0)))</f>
        <v/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61.5" customHeight="1">
      <c r="A94" s="31" t="str">
        <f t="array" ref="A94">IF(87&gt;COUNT(Registar!$AH$8:$AH$207),"",INDEX(Registar!$AA$8:$AA$207,MATCH(87,Registar!$AH$8:$AH$207,0)))</f>
        <v/>
      </c>
      <c r="B94" s="31" t="str">
        <f t="array" ref="B94">IF(87&gt;COUNT(Registar!$AH$8:$AH$207),"",INDEX(Registar!$AB$8:$AB$207,MATCH(87,Registar!$AH$8:$AH$207,0)))</f>
        <v/>
      </c>
      <c r="C94" s="31" t="str">
        <f t="array" ref="C94">IF(87&gt;COUNT(Registar!$AH$8:$AH$207),"",INDEX(Registar!$H$8:$H$207,MATCH(87,Registar!$AH$8:$AH$207,0)))</f>
        <v/>
      </c>
      <c r="D94" s="38" t="str">
        <f t="array" ref="D94">IF(87&gt;COUNT(Registar!$AH$8:$AH$207),"",INDEX(Registar!$AD$8:$AD$207,MATCH(87,Registar!$AH$8:$AH$207,0)))</f>
        <v/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61.5" customHeight="1">
      <c r="A95" s="31" t="str">
        <f t="array" ref="A95">IF(88&gt;COUNT(Registar!$AH$8:$AH$207),"",INDEX(Registar!$AA$8:$AA$207,MATCH(88,Registar!$AH$8:$AH$207,0)))</f>
        <v/>
      </c>
      <c r="B95" s="31" t="str">
        <f t="array" ref="B95">IF(88&gt;COUNT(Registar!$AH$8:$AH$207),"",INDEX(Registar!$AB$8:$AB$207,MATCH(88,Registar!$AH$8:$AH$207,0)))</f>
        <v/>
      </c>
      <c r="C95" s="31" t="str">
        <f t="array" ref="C95">IF(88&gt;COUNT(Registar!$AH$8:$AH$207),"",INDEX(Registar!$H$8:$H$207,MATCH(88,Registar!$AH$8:$AH$207,0)))</f>
        <v/>
      </c>
      <c r="D95" s="38" t="str">
        <f t="array" ref="D95">IF(88&gt;COUNT(Registar!$AH$8:$AH$207),"",INDEX(Registar!$AD$8:$AD$207,MATCH(88,Registar!$AH$8:$AH$207,0)))</f>
        <v/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61.5" customHeight="1">
      <c r="A96" s="31" t="str">
        <f t="array" ref="A96">IF(89&gt;COUNT(Registar!$AH$8:$AH$207),"",INDEX(Registar!$AA$8:$AA$207,MATCH(89,Registar!$AH$8:$AH$207,0)))</f>
        <v/>
      </c>
      <c r="B96" s="31" t="str">
        <f t="array" ref="B96">IF(89&gt;COUNT(Registar!$AH$8:$AH$207),"",INDEX(Registar!$AB$8:$AB$207,MATCH(89,Registar!$AH$8:$AH$207,0)))</f>
        <v/>
      </c>
      <c r="C96" s="31" t="str">
        <f t="array" ref="C96">IF(89&gt;COUNT(Registar!$AH$8:$AH$207),"",INDEX(Registar!$H$8:$H$207,MATCH(89,Registar!$AH$8:$AH$207,0)))</f>
        <v/>
      </c>
      <c r="D96" s="38" t="str">
        <f t="array" ref="D96">IF(89&gt;COUNT(Registar!$AH$8:$AH$207),"",INDEX(Registar!$AD$8:$AD$207,MATCH(89,Registar!$AH$8:$AH$207,0)))</f>
        <v/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61.5" customHeight="1">
      <c r="A97" s="31" t="str">
        <f t="array" ref="A97">IF(90&gt;COUNT(Registar!$AH$8:$AH$207),"",INDEX(Registar!$AA$8:$AA$207,MATCH(90,Registar!$AH$8:$AH$207,0)))</f>
        <v/>
      </c>
      <c r="B97" s="31" t="str">
        <f t="array" ref="B97">IF(90&gt;COUNT(Registar!$AH$8:$AH$207),"",INDEX(Registar!$AB$8:$AB$207,MATCH(90,Registar!$AH$8:$AH$207,0)))</f>
        <v/>
      </c>
      <c r="C97" s="31" t="str">
        <f t="array" ref="C97">IF(90&gt;COUNT(Registar!$AH$8:$AH$207),"",INDEX(Registar!$H$8:$H$207,MATCH(90,Registar!$AH$8:$AH$207,0)))</f>
        <v/>
      </c>
      <c r="D97" s="38" t="str">
        <f t="array" ref="D97">IF(90&gt;COUNT(Registar!$AH$8:$AH$207),"",INDEX(Registar!$AD$8:$AD$207,MATCH(90,Registar!$AH$8:$AH$207,0)))</f>
        <v/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61.5" customHeight="1">
      <c r="A98" s="31" t="str">
        <f t="array" ref="A98">IF(91&gt;COUNT(Registar!$AH$8:$AH$207),"",INDEX(Registar!$AA$8:$AA$207,MATCH(91,Registar!$AH$8:$AH$207,0)))</f>
        <v/>
      </c>
      <c r="B98" s="31" t="str">
        <f t="array" ref="B98">IF(91&gt;COUNT(Registar!$AH$8:$AH$207),"",INDEX(Registar!$AB$8:$AB$207,MATCH(91,Registar!$AH$8:$AH$207,0)))</f>
        <v/>
      </c>
      <c r="C98" s="31" t="str">
        <f t="array" ref="C98">IF(91&gt;COUNT(Registar!$AH$8:$AH$207),"",INDEX(Registar!$H$8:$H$207,MATCH(91,Registar!$AH$8:$AH$207,0)))</f>
        <v/>
      </c>
      <c r="D98" s="38" t="str">
        <f t="array" ref="D98">IF(91&gt;COUNT(Registar!$AH$8:$AH$207),"",INDEX(Registar!$AD$8:$AD$207,MATCH(91,Registar!$AH$8:$AH$207,0)))</f>
        <v/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61.5" customHeight="1">
      <c r="A99" s="31" t="str">
        <f t="array" ref="A99">IF(92&gt;COUNT(Registar!$AH$8:$AH$207),"",INDEX(Registar!$AA$8:$AA$207,MATCH(92,Registar!$AH$8:$AH$207,0)))</f>
        <v/>
      </c>
      <c r="B99" s="31" t="str">
        <f t="array" ref="B99">IF(92&gt;COUNT(Registar!$AH$8:$AH$207),"",INDEX(Registar!$AB$8:$AB$207,MATCH(92,Registar!$AH$8:$AH$207,0)))</f>
        <v/>
      </c>
      <c r="C99" s="31" t="str">
        <f t="array" ref="C99">IF(92&gt;COUNT(Registar!$AH$8:$AH$207),"",INDEX(Registar!$H$8:$H$207,MATCH(92,Registar!$AH$8:$AH$207,0)))</f>
        <v/>
      </c>
      <c r="D99" s="38" t="str">
        <f t="array" ref="D99">IF(92&gt;COUNT(Registar!$AH$8:$AH$207),"",INDEX(Registar!$AD$8:$AD$207,MATCH(92,Registar!$AH$8:$AH$207,0)))</f>
        <v/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61.5" customHeight="1">
      <c r="A100" s="31" t="str">
        <f t="array" ref="A100">IF(93&gt;COUNT(Registar!$AH$8:$AH$207),"",INDEX(Registar!$AA$8:$AA$207,MATCH(93,Registar!$AH$8:$AH$207,0)))</f>
        <v/>
      </c>
      <c r="B100" s="31" t="str">
        <f t="array" ref="B100">IF(93&gt;COUNT(Registar!$AH$8:$AH$207),"",INDEX(Registar!$AB$8:$AB$207,MATCH(93,Registar!$AH$8:$AH$207,0)))</f>
        <v/>
      </c>
      <c r="C100" s="31" t="str">
        <f t="array" ref="C100">IF(93&gt;COUNT(Registar!$AH$8:$AH$207),"",INDEX(Registar!$H$8:$H$207,MATCH(93,Registar!$AH$8:$AH$207,0)))</f>
        <v/>
      </c>
      <c r="D100" s="38" t="str">
        <f t="array" ref="D100">IF(93&gt;COUNT(Registar!$AH$8:$AH$207),"",INDEX(Registar!$AD$8:$AD$207,MATCH(93,Registar!$AH$8:$AH$207,0)))</f>
        <v/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61.5" customHeight="1">
      <c r="A101" s="31" t="str">
        <f t="array" ref="A101">IF(94&gt;COUNT(Registar!$AH$8:$AH$207),"",INDEX(Registar!$AA$8:$AA$207,MATCH(94,Registar!$AH$8:$AH$207,0)))</f>
        <v/>
      </c>
      <c r="B101" s="31" t="str">
        <f t="array" ref="B101">IF(94&gt;COUNT(Registar!$AH$8:$AH$207),"",INDEX(Registar!$AB$8:$AB$207,MATCH(94,Registar!$AH$8:$AH$207,0)))</f>
        <v/>
      </c>
      <c r="C101" s="31" t="str">
        <f t="array" ref="C101">IF(94&gt;COUNT(Registar!$AH$8:$AH$207),"",INDEX(Registar!$H$8:$H$207,MATCH(94,Registar!$AH$8:$AH$207,0)))</f>
        <v/>
      </c>
      <c r="D101" s="38" t="str">
        <f t="array" ref="D101">IF(94&gt;COUNT(Registar!$AH$8:$AH$207),"",INDEX(Registar!$AD$8:$AD$207,MATCH(94,Registar!$AH$8:$AH$207,0)))</f>
        <v/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61.5" customHeight="1">
      <c r="A102" s="31" t="str">
        <f t="array" ref="A102">IF(95&gt;COUNT(Registar!$AH$8:$AH$207),"",INDEX(Registar!$AA$8:$AA$207,MATCH(95,Registar!$AH$8:$AH$207,0)))</f>
        <v/>
      </c>
      <c r="B102" s="31" t="str">
        <f t="array" ref="B102">IF(95&gt;COUNT(Registar!$AH$8:$AH$207),"",INDEX(Registar!$AB$8:$AB$207,MATCH(95,Registar!$AH$8:$AH$207,0)))</f>
        <v/>
      </c>
      <c r="C102" s="31" t="str">
        <f t="array" ref="C102">IF(95&gt;COUNT(Registar!$AH$8:$AH$207),"",INDEX(Registar!$H$8:$H$207,MATCH(95,Registar!$AH$8:$AH$207,0)))</f>
        <v/>
      </c>
      <c r="D102" s="38" t="str">
        <f t="array" ref="D102">IF(95&gt;COUNT(Registar!$AH$8:$AH$207),"",INDEX(Registar!$AD$8:$AD$207,MATCH(95,Registar!$AH$8:$AH$207,0)))</f>
        <v/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61.5" customHeight="1">
      <c r="A103" s="31" t="str">
        <f t="array" ref="A103">IF(96&gt;COUNT(Registar!$AH$8:$AH$207),"",INDEX(Registar!$AA$8:$AA$207,MATCH(96,Registar!$AH$8:$AH$207,0)))</f>
        <v/>
      </c>
      <c r="B103" s="31" t="str">
        <f t="array" ref="B103">IF(96&gt;COUNT(Registar!$AH$8:$AH$207),"",INDEX(Registar!$AB$8:$AB$207,MATCH(96,Registar!$AH$8:$AH$207,0)))</f>
        <v/>
      </c>
      <c r="C103" s="31" t="str">
        <f t="array" ref="C103">IF(96&gt;COUNT(Registar!$AH$8:$AH$207),"",INDEX(Registar!$H$8:$H$207,MATCH(96,Registar!$AH$8:$AH$207,0)))</f>
        <v/>
      </c>
      <c r="D103" s="38" t="str">
        <f t="array" ref="D103">IF(96&gt;COUNT(Registar!$AH$8:$AH$207),"",INDEX(Registar!$AD$8:$AD$207,MATCH(96,Registar!$AH$8:$AH$207,0)))</f>
        <v/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61.5" customHeight="1">
      <c r="A104" s="31" t="str">
        <f t="array" ref="A104">IF(97&gt;COUNT(Registar!$AH$8:$AH$207),"",INDEX(Registar!$AA$8:$AA$207,MATCH(97,Registar!$AH$8:$AH$207,0)))</f>
        <v/>
      </c>
      <c r="B104" s="31" t="str">
        <f t="array" ref="B104">IF(97&gt;COUNT(Registar!$AH$8:$AH$207),"",INDEX(Registar!$AB$8:$AB$207,MATCH(97,Registar!$AH$8:$AH$207,0)))</f>
        <v/>
      </c>
      <c r="C104" s="31" t="str">
        <f t="array" ref="C104">IF(97&gt;COUNT(Registar!$AH$8:$AH$207),"",INDEX(Registar!$H$8:$H$207,MATCH(97,Registar!$AH$8:$AH$207,0)))</f>
        <v/>
      </c>
      <c r="D104" s="38" t="str">
        <f t="array" ref="D104">IF(97&gt;COUNT(Registar!$AH$8:$AH$207),"",INDEX(Registar!$AD$8:$AD$207,MATCH(97,Registar!$AH$8:$AH$207,0)))</f>
        <v/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61.5" customHeight="1">
      <c r="A105" s="31" t="str">
        <f t="array" ref="A105">IF(98&gt;COUNT(Registar!$AH$8:$AH$207),"",INDEX(Registar!$AA$8:$AA$207,MATCH(98,Registar!$AH$8:$AH$207,0)))</f>
        <v/>
      </c>
      <c r="B105" s="31" t="str">
        <f t="array" ref="B105">IF(98&gt;COUNT(Registar!$AH$8:$AH$207),"",INDEX(Registar!$AB$8:$AB$207,MATCH(98,Registar!$AH$8:$AH$207,0)))</f>
        <v/>
      </c>
      <c r="C105" s="31" t="str">
        <f t="array" ref="C105">IF(98&gt;COUNT(Registar!$AH$8:$AH$207),"",INDEX(Registar!$H$8:$H$207,MATCH(98,Registar!$AH$8:$AH$207,0)))</f>
        <v/>
      </c>
      <c r="D105" s="38" t="str">
        <f t="array" ref="D105">IF(98&gt;COUNT(Registar!$AH$8:$AH$207),"",INDEX(Registar!$AD$8:$AD$207,MATCH(98,Registar!$AH$8:$AH$207,0)))</f>
        <v/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61.5" customHeight="1">
      <c r="A106" s="31" t="str">
        <f t="array" ref="A106">IF(99&gt;COUNT(Registar!$AH$8:$AH$207),"",INDEX(Registar!$AA$8:$AA$207,MATCH(99,Registar!$AH$8:$AH$207,0)))</f>
        <v/>
      </c>
      <c r="B106" s="31" t="str">
        <f t="array" ref="B106">IF(99&gt;COUNT(Registar!$AH$8:$AH$207),"",INDEX(Registar!$AB$8:$AB$207,MATCH(99,Registar!$AH$8:$AH$207,0)))</f>
        <v/>
      </c>
      <c r="C106" s="31" t="str">
        <f t="array" ref="C106">IF(99&gt;COUNT(Registar!$AH$8:$AH$207),"",INDEX(Registar!$H$8:$H$207,MATCH(99,Registar!$AH$8:$AH$207,0)))</f>
        <v/>
      </c>
      <c r="D106" s="38" t="str">
        <f t="array" ref="D106">IF(99&gt;COUNT(Registar!$AH$8:$AH$207),"",INDEX(Registar!$AD$8:$AD$207,MATCH(99,Registar!$AH$8:$AH$207,0)))</f>
        <v/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61.5" customHeight="1">
      <c r="A107" s="31" t="str">
        <f t="array" ref="A107">IF(100&gt;COUNT(Registar!$AH$8:$AH$207),"",INDEX(Registar!$AA$8:$AA$207,MATCH(100,Registar!$AH$8:$AH$207,0)))</f>
        <v/>
      </c>
      <c r="B107" s="31" t="str">
        <f t="array" ref="B107">IF(100&gt;COUNT(Registar!$AH$8:$AH$207),"",INDEX(Registar!$AB$8:$AB$207,MATCH(100,Registar!$AH$8:$AH$207,0)))</f>
        <v/>
      </c>
      <c r="C107" s="31" t="str">
        <f t="array" ref="C107">IF(100&gt;COUNT(Registar!$AH$8:$AH$207),"",INDEX(Registar!$H$8:$H$207,MATCH(100,Registar!$AH$8:$AH$207,0)))</f>
        <v/>
      </c>
      <c r="D107" s="38" t="str">
        <f t="array" ref="D107">IF(100&gt;COUNT(Registar!$AH$8:$AH$207),"",INDEX(Registar!$AD$8:$AD$207,MATCH(100,Registar!$AH$8:$AH$207,0)))</f>
        <v/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61.5" customHeight="1">
      <c r="A108" s="31" t="str">
        <f t="array" ref="A108">IF(101&gt;COUNT(Registar!$AH$8:$AH$207),"",INDEX(Registar!$AA$8:$AA$207,MATCH(101,Registar!$AH$8:$AH$207,0)))</f>
        <v/>
      </c>
      <c r="B108" s="31" t="str">
        <f t="array" ref="B108">IF(101&gt;COUNT(Registar!$AH$8:$AH$207),"",INDEX(Registar!$AB$8:$AB$207,MATCH(101,Registar!$AH$8:$AH$207,0)))</f>
        <v/>
      </c>
      <c r="C108" s="31" t="str">
        <f t="array" ref="C108">IF(101&gt;COUNT(Registar!$AH$8:$AH$207),"",INDEX(Registar!$H$8:$H$207,MATCH(101,Registar!$AH$8:$AH$207,0)))</f>
        <v/>
      </c>
      <c r="D108" s="38" t="str">
        <f t="array" ref="D108">IF(101&gt;COUNT(Registar!$AH$8:$AH$207),"",INDEX(Registar!$AD$8:$AD$207,MATCH(101,Registar!$AH$8:$AH$207,0)))</f>
        <v/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61.5" customHeight="1">
      <c r="A109" s="31" t="str">
        <f t="array" ref="A109">IF(102&gt;COUNT(Registar!$AH$8:$AH$207),"",INDEX(Registar!$AA$8:$AA$207,MATCH(102,Registar!$AH$8:$AH$207,0)))</f>
        <v/>
      </c>
      <c r="B109" s="31" t="str">
        <f t="array" ref="B109">IF(102&gt;COUNT(Registar!$AH$8:$AH$207),"",INDEX(Registar!$AB$8:$AB$207,MATCH(102,Registar!$AH$8:$AH$207,0)))</f>
        <v/>
      </c>
      <c r="C109" s="31" t="str">
        <f t="array" ref="C109">IF(102&gt;COUNT(Registar!$AH$8:$AH$207),"",INDEX(Registar!$H$8:$H$207,MATCH(102,Registar!$AH$8:$AH$207,0)))</f>
        <v/>
      </c>
      <c r="D109" s="38" t="str">
        <f t="array" ref="D109">IF(102&gt;COUNT(Registar!$AH$8:$AH$207),"",INDEX(Registar!$AD$8:$AD$207,MATCH(102,Registar!$AH$8:$AH$207,0)))</f>
        <v/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61.5" customHeight="1">
      <c r="A110" s="31" t="str">
        <f t="array" ref="A110">IF(103&gt;COUNT(Registar!$AH$8:$AH$207),"",INDEX(Registar!$AA$8:$AA$207,MATCH(103,Registar!$AH$8:$AH$207,0)))</f>
        <v/>
      </c>
      <c r="B110" s="31" t="str">
        <f t="array" ref="B110">IF(103&gt;COUNT(Registar!$AH$8:$AH$207),"",INDEX(Registar!$AB$8:$AB$207,MATCH(103,Registar!$AH$8:$AH$207,0)))</f>
        <v/>
      </c>
      <c r="C110" s="31" t="str">
        <f t="array" ref="C110">IF(103&gt;COUNT(Registar!$AH$8:$AH$207),"",INDEX(Registar!$H$8:$H$207,MATCH(103,Registar!$AH$8:$AH$207,0)))</f>
        <v/>
      </c>
      <c r="D110" s="38" t="str">
        <f t="array" ref="D110">IF(103&gt;COUNT(Registar!$AH$8:$AH$207),"",INDEX(Registar!$AD$8:$AD$207,MATCH(103,Registar!$AH$8:$AH$207,0)))</f>
        <v/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61.5" customHeight="1">
      <c r="A111" s="31" t="str">
        <f t="array" ref="A111">IF(104&gt;COUNT(Registar!$AH$8:$AH$207),"",INDEX(Registar!$AA$8:$AA$207,MATCH(104,Registar!$AH$8:$AH$207,0)))</f>
        <v/>
      </c>
      <c r="B111" s="31" t="str">
        <f t="array" ref="B111">IF(104&gt;COUNT(Registar!$AH$8:$AH$207),"",INDEX(Registar!$AB$8:$AB$207,MATCH(104,Registar!$AH$8:$AH$207,0)))</f>
        <v/>
      </c>
      <c r="C111" s="31" t="str">
        <f t="array" ref="C111">IF(104&gt;COUNT(Registar!$AH$8:$AH$207),"",INDEX(Registar!$H$8:$H$207,MATCH(104,Registar!$AH$8:$AH$207,0)))</f>
        <v/>
      </c>
      <c r="D111" s="38" t="str">
        <f t="array" ref="D111">IF(104&gt;COUNT(Registar!$AH$8:$AH$207),"",INDEX(Registar!$AD$8:$AD$207,MATCH(104,Registar!$AH$8:$AH$207,0)))</f>
        <v/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61.5" customHeight="1">
      <c r="A112" s="31" t="str">
        <f t="array" ref="A112">IF(105&gt;COUNT(Registar!$AH$8:$AH$207),"",INDEX(Registar!$AA$8:$AA$207,MATCH(105,Registar!$AH$8:$AH$207,0)))</f>
        <v/>
      </c>
      <c r="B112" s="31" t="str">
        <f t="array" ref="B112">IF(105&gt;COUNT(Registar!$AH$8:$AH$207),"",INDEX(Registar!$AB$8:$AB$207,MATCH(105,Registar!$AH$8:$AH$207,0)))</f>
        <v/>
      </c>
      <c r="C112" s="31" t="str">
        <f t="array" ref="C112">IF(105&gt;COUNT(Registar!$AH$8:$AH$207),"",INDEX(Registar!$H$8:$H$207,MATCH(105,Registar!$AH$8:$AH$207,0)))</f>
        <v/>
      </c>
      <c r="D112" s="38" t="str">
        <f t="array" ref="D112">IF(105&gt;COUNT(Registar!$AH$8:$AH$207),"",INDEX(Registar!$AD$8:$AD$207,MATCH(105,Registar!$AH$8:$AH$207,0)))</f>
        <v/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61.5" customHeight="1">
      <c r="A113" s="31" t="str">
        <f t="array" ref="A113">IF(106&gt;COUNT(Registar!$AH$8:$AH$207),"",INDEX(Registar!$AA$8:$AA$207,MATCH(106,Registar!$AH$8:$AH$207,0)))</f>
        <v/>
      </c>
      <c r="B113" s="31" t="str">
        <f t="array" ref="B113">IF(106&gt;COUNT(Registar!$AH$8:$AH$207),"",INDEX(Registar!$AB$8:$AB$207,MATCH(106,Registar!$AH$8:$AH$207,0)))</f>
        <v/>
      </c>
      <c r="C113" s="31" t="str">
        <f t="array" ref="C113">IF(106&gt;COUNT(Registar!$AH$8:$AH$207),"",INDEX(Registar!$H$8:$H$207,MATCH(106,Registar!$AH$8:$AH$207,0)))</f>
        <v/>
      </c>
      <c r="D113" s="38" t="str">
        <f t="array" ref="D113">IF(106&gt;COUNT(Registar!$AH$8:$AH$207),"",INDEX(Registar!$AD$8:$AD$207,MATCH(106,Registar!$AH$8:$AH$207,0)))</f>
        <v/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61.5" customHeight="1">
      <c r="A114" s="31" t="str">
        <f t="array" ref="A114">IF(107&gt;COUNT(Registar!$AH$8:$AH$207),"",INDEX(Registar!$AA$8:$AA$207,MATCH(107,Registar!$AH$8:$AH$207,0)))</f>
        <v/>
      </c>
      <c r="B114" s="31" t="str">
        <f t="array" ref="B114">IF(107&gt;COUNT(Registar!$AH$8:$AH$207),"",INDEX(Registar!$AB$8:$AB$207,MATCH(107,Registar!$AH$8:$AH$207,0)))</f>
        <v/>
      </c>
      <c r="C114" s="31" t="str">
        <f t="array" ref="C114">IF(107&gt;COUNT(Registar!$AH$8:$AH$207),"",INDEX(Registar!$H$8:$H$207,MATCH(107,Registar!$AH$8:$AH$207,0)))</f>
        <v/>
      </c>
      <c r="D114" s="38" t="str">
        <f t="array" ref="D114">IF(107&gt;COUNT(Registar!$AH$8:$AH$207),"",INDEX(Registar!$AD$8:$AD$207,MATCH(107,Registar!$AH$8:$AH$207,0)))</f>
        <v/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61.5" customHeight="1">
      <c r="A115" s="31" t="str">
        <f t="array" ref="A115">IF(108&gt;COUNT(Registar!$AH$8:$AH$207),"",INDEX(Registar!$AA$8:$AA$207,MATCH(108,Registar!$AH$8:$AH$207,0)))</f>
        <v/>
      </c>
      <c r="B115" s="31" t="str">
        <f t="array" ref="B115">IF(108&gt;COUNT(Registar!$AH$8:$AH$207),"",INDEX(Registar!$AB$8:$AB$207,MATCH(108,Registar!$AH$8:$AH$207,0)))</f>
        <v/>
      </c>
      <c r="C115" s="31" t="str">
        <f t="array" ref="C115">IF(108&gt;COUNT(Registar!$AH$8:$AH$207),"",INDEX(Registar!$H$8:$H$207,MATCH(108,Registar!$AH$8:$AH$207,0)))</f>
        <v/>
      </c>
      <c r="D115" s="38" t="str">
        <f t="array" ref="D115">IF(108&gt;COUNT(Registar!$AH$8:$AH$207),"",INDEX(Registar!$AD$8:$AD$207,MATCH(108,Registar!$AH$8:$AH$207,0)))</f>
        <v/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61.5" customHeight="1">
      <c r="A116" s="31" t="str">
        <f t="array" ref="A116">IF(109&gt;COUNT(Registar!$AH$8:$AH$207),"",INDEX(Registar!$AA$8:$AA$207,MATCH(109,Registar!$AH$8:$AH$207,0)))</f>
        <v/>
      </c>
      <c r="B116" s="31" t="str">
        <f t="array" ref="B116">IF(109&gt;COUNT(Registar!$AH$8:$AH$207),"",INDEX(Registar!$AB$8:$AB$207,MATCH(109,Registar!$AH$8:$AH$207,0)))</f>
        <v/>
      </c>
      <c r="C116" s="31" t="str">
        <f t="array" ref="C116">IF(109&gt;COUNT(Registar!$AH$8:$AH$207),"",INDEX(Registar!$H$8:$H$207,MATCH(109,Registar!$AH$8:$AH$207,0)))</f>
        <v/>
      </c>
      <c r="D116" s="38" t="str">
        <f t="array" ref="D116">IF(109&gt;COUNT(Registar!$AH$8:$AH$207),"",INDEX(Registar!$AD$8:$AD$207,MATCH(109,Registar!$AH$8:$AH$207,0)))</f>
        <v/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61.5" customHeight="1">
      <c r="A117" s="31" t="str">
        <f t="array" ref="A117">IF(110&gt;COUNT(Registar!$AH$8:$AH$207),"",INDEX(Registar!$AA$8:$AA$207,MATCH(110,Registar!$AH$8:$AH$207,0)))</f>
        <v/>
      </c>
      <c r="B117" s="31" t="str">
        <f t="array" ref="B117">IF(110&gt;COUNT(Registar!$AH$8:$AH$207),"",INDEX(Registar!$AB$8:$AB$207,MATCH(110,Registar!$AH$8:$AH$207,0)))</f>
        <v/>
      </c>
      <c r="C117" s="31" t="str">
        <f t="array" ref="C117">IF(110&gt;COUNT(Registar!$AH$8:$AH$207),"",INDEX(Registar!$H$8:$H$207,MATCH(110,Registar!$AH$8:$AH$207,0)))</f>
        <v/>
      </c>
      <c r="D117" s="38" t="str">
        <f t="array" ref="D117">IF(110&gt;COUNT(Registar!$AH$8:$AH$207),"",INDEX(Registar!$AD$8:$AD$207,MATCH(110,Registar!$AH$8:$AH$207,0)))</f>
        <v/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61.5" customHeight="1">
      <c r="A118" s="31" t="str">
        <f t="array" ref="A118">IF(111&gt;COUNT(Registar!$AH$8:$AH$207),"",INDEX(Registar!$AA$8:$AA$207,MATCH(111,Registar!$AH$8:$AH$207,0)))</f>
        <v/>
      </c>
      <c r="B118" s="31" t="str">
        <f t="array" ref="B118">IF(111&gt;COUNT(Registar!$AH$8:$AH$207),"",INDEX(Registar!$AB$8:$AB$207,MATCH(111,Registar!$AH$8:$AH$207,0)))</f>
        <v/>
      </c>
      <c r="C118" s="31" t="str">
        <f t="array" ref="C118">IF(111&gt;COUNT(Registar!$AH$8:$AH$207),"",INDEX(Registar!$H$8:$H$207,MATCH(111,Registar!$AH$8:$AH$207,0)))</f>
        <v/>
      </c>
      <c r="D118" s="38" t="str">
        <f t="array" ref="D118">IF(111&gt;COUNT(Registar!$AH$8:$AH$207),"",INDEX(Registar!$AD$8:$AD$207,MATCH(111,Registar!$AH$8:$AH$207,0)))</f>
        <v/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61.5" customHeight="1">
      <c r="A119" s="31" t="str">
        <f t="array" ref="A119">IF(112&gt;COUNT(Registar!$AH$8:$AH$207),"",INDEX(Registar!$AA$8:$AA$207,MATCH(112,Registar!$AH$8:$AH$207,0)))</f>
        <v/>
      </c>
      <c r="B119" s="31" t="str">
        <f t="array" ref="B119">IF(112&gt;COUNT(Registar!$AH$8:$AH$207),"",INDEX(Registar!$AB$8:$AB$207,MATCH(112,Registar!$AH$8:$AH$207,0)))</f>
        <v/>
      </c>
      <c r="C119" s="31" t="str">
        <f t="array" ref="C119">IF(112&gt;COUNT(Registar!$AH$8:$AH$207),"",INDEX(Registar!$H$8:$H$207,MATCH(112,Registar!$AH$8:$AH$207,0)))</f>
        <v/>
      </c>
      <c r="D119" s="38" t="str">
        <f t="array" ref="D119">IF(112&gt;COUNT(Registar!$AH$8:$AH$207),"",INDEX(Registar!$AD$8:$AD$207,MATCH(112,Registar!$AH$8:$AH$207,0)))</f>
        <v/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61.5" customHeight="1">
      <c r="A120" s="31" t="str">
        <f t="array" ref="A120">IF(113&gt;COUNT(Registar!$AH$8:$AH$207),"",INDEX(Registar!$AA$8:$AA$207,MATCH(113,Registar!$AH$8:$AH$207,0)))</f>
        <v/>
      </c>
      <c r="B120" s="31" t="str">
        <f t="array" ref="B120">IF(113&gt;COUNT(Registar!$AH$8:$AH$207),"",INDEX(Registar!$AB$8:$AB$207,MATCH(113,Registar!$AH$8:$AH$207,0)))</f>
        <v/>
      </c>
      <c r="C120" s="31" t="str">
        <f t="array" ref="C120">IF(113&gt;COUNT(Registar!$AH$8:$AH$207),"",INDEX(Registar!$H$8:$H$207,MATCH(113,Registar!$AH$8:$AH$207,0)))</f>
        <v/>
      </c>
      <c r="D120" s="38" t="str">
        <f t="array" ref="D120">IF(113&gt;COUNT(Registar!$AH$8:$AH$207),"",INDEX(Registar!$AD$8:$AD$207,MATCH(113,Registar!$AH$8:$AH$207,0)))</f>
        <v/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61.5" customHeight="1">
      <c r="A121" s="31" t="str">
        <f t="array" ref="A121">IF(114&gt;COUNT(Registar!$AH$8:$AH$207),"",INDEX(Registar!$AA$8:$AA$207,MATCH(114,Registar!$AH$8:$AH$207,0)))</f>
        <v/>
      </c>
      <c r="B121" s="31" t="str">
        <f t="array" ref="B121">IF(114&gt;COUNT(Registar!$AH$8:$AH$207),"",INDEX(Registar!$AB$8:$AB$207,MATCH(114,Registar!$AH$8:$AH$207,0)))</f>
        <v/>
      </c>
      <c r="C121" s="31" t="str">
        <f t="array" ref="C121">IF(114&gt;COUNT(Registar!$AH$8:$AH$207),"",INDEX(Registar!$H$8:$H$207,MATCH(114,Registar!$AH$8:$AH$207,0)))</f>
        <v/>
      </c>
      <c r="D121" s="38" t="str">
        <f t="array" ref="D121">IF(114&gt;COUNT(Registar!$AH$8:$AH$207),"",INDEX(Registar!$AD$8:$AD$207,MATCH(114,Registar!$AH$8:$AH$207,0)))</f>
        <v/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61.5" customHeight="1">
      <c r="A122" s="31" t="str">
        <f t="array" ref="A122">IF(115&gt;COUNT(Registar!$AH$8:$AH$207),"",INDEX(Registar!$AA$8:$AA$207,MATCH(115,Registar!$AH$8:$AH$207,0)))</f>
        <v/>
      </c>
      <c r="B122" s="31" t="str">
        <f t="array" ref="B122">IF(115&gt;COUNT(Registar!$AH$8:$AH$207),"",INDEX(Registar!$AB$8:$AB$207,MATCH(115,Registar!$AH$8:$AH$207,0)))</f>
        <v/>
      </c>
      <c r="C122" s="31" t="str">
        <f t="array" ref="C122">IF(115&gt;COUNT(Registar!$AH$8:$AH$207),"",INDEX(Registar!$H$8:$H$207,MATCH(115,Registar!$AH$8:$AH$207,0)))</f>
        <v/>
      </c>
      <c r="D122" s="38" t="str">
        <f t="array" ref="D122">IF(115&gt;COUNT(Registar!$AH$8:$AH$207),"",INDEX(Registar!$AD$8:$AD$207,MATCH(115,Registar!$AH$8:$AH$207,0)))</f>
        <v/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61.5" customHeight="1">
      <c r="A123" s="31" t="str">
        <f t="array" ref="A123">IF(116&gt;COUNT(Registar!$AH$8:$AH$207),"",INDEX(Registar!$AA$8:$AA$207,MATCH(116,Registar!$AH$8:$AH$207,0)))</f>
        <v/>
      </c>
      <c r="B123" s="31" t="str">
        <f t="array" ref="B123">IF(116&gt;COUNT(Registar!$AH$8:$AH$207),"",INDEX(Registar!$AB$8:$AB$207,MATCH(116,Registar!$AH$8:$AH$207,0)))</f>
        <v/>
      </c>
      <c r="C123" s="31" t="str">
        <f t="array" ref="C123">IF(116&gt;COUNT(Registar!$AH$8:$AH$207),"",INDEX(Registar!$H$8:$H$207,MATCH(116,Registar!$AH$8:$AH$207,0)))</f>
        <v/>
      </c>
      <c r="D123" s="38" t="str">
        <f t="array" ref="D123">IF(116&gt;COUNT(Registar!$AH$8:$AH$207),"",INDEX(Registar!$AD$8:$AD$207,MATCH(116,Registar!$AH$8:$AH$207,0)))</f>
        <v/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61.5" customHeight="1">
      <c r="A124" s="31" t="str">
        <f t="array" ref="A124">IF(117&gt;COUNT(Registar!$AH$8:$AH$207),"",INDEX(Registar!$AA$8:$AA$207,MATCH(117,Registar!$AH$8:$AH$207,0)))</f>
        <v/>
      </c>
      <c r="B124" s="31" t="str">
        <f t="array" ref="B124">IF(117&gt;COUNT(Registar!$AH$8:$AH$207),"",INDEX(Registar!$AB$8:$AB$207,MATCH(117,Registar!$AH$8:$AH$207,0)))</f>
        <v/>
      </c>
      <c r="C124" s="31" t="str">
        <f t="array" ref="C124">IF(117&gt;COUNT(Registar!$AH$8:$AH$207),"",INDEX(Registar!$H$8:$H$207,MATCH(117,Registar!$AH$8:$AH$207,0)))</f>
        <v/>
      </c>
      <c r="D124" s="38" t="str">
        <f t="array" ref="D124">IF(117&gt;COUNT(Registar!$AH$8:$AH$207),"",INDEX(Registar!$AD$8:$AD$207,MATCH(117,Registar!$AH$8:$AH$207,0)))</f>
        <v/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61.5" customHeight="1">
      <c r="A125" s="31" t="str">
        <f t="array" ref="A125">IF(118&gt;COUNT(Registar!$AH$8:$AH$207),"",INDEX(Registar!$AA$8:$AA$207,MATCH(118,Registar!$AH$8:$AH$207,0)))</f>
        <v/>
      </c>
      <c r="B125" s="31" t="str">
        <f t="array" ref="B125">IF(118&gt;COUNT(Registar!$AH$8:$AH$207),"",INDEX(Registar!$AB$8:$AB$207,MATCH(118,Registar!$AH$8:$AH$207,0)))</f>
        <v/>
      </c>
      <c r="C125" s="31" t="str">
        <f t="array" ref="C125">IF(118&gt;COUNT(Registar!$AH$8:$AH$207),"",INDEX(Registar!$H$8:$H$207,MATCH(118,Registar!$AH$8:$AH$207,0)))</f>
        <v/>
      </c>
      <c r="D125" s="38" t="str">
        <f t="array" ref="D125">IF(118&gt;COUNT(Registar!$AH$8:$AH$207),"",INDEX(Registar!$AD$8:$AD$207,MATCH(118,Registar!$AH$8:$AH$207,0)))</f>
        <v/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61.5" customHeight="1">
      <c r="A126" s="31" t="str">
        <f t="array" ref="A126">IF(119&gt;COUNT(Registar!$AH$8:$AH$207),"",INDEX(Registar!$AA$8:$AA$207,MATCH(119,Registar!$AH$8:$AH$207,0)))</f>
        <v/>
      </c>
      <c r="B126" s="31" t="str">
        <f t="array" ref="B126">IF(119&gt;COUNT(Registar!$AH$8:$AH$207),"",INDEX(Registar!$AB$8:$AB$207,MATCH(119,Registar!$AH$8:$AH$207,0)))</f>
        <v/>
      </c>
      <c r="C126" s="31" t="str">
        <f t="array" ref="C126">IF(119&gt;COUNT(Registar!$AH$8:$AH$207),"",INDEX(Registar!$H$8:$H$207,MATCH(119,Registar!$AH$8:$AH$207,0)))</f>
        <v/>
      </c>
      <c r="D126" s="38" t="str">
        <f t="array" ref="D126">IF(119&gt;COUNT(Registar!$AH$8:$AH$207),"",INDEX(Registar!$AD$8:$AD$207,MATCH(119,Registar!$AH$8:$AH$207,0)))</f>
        <v/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61.5" customHeight="1">
      <c r="A127" s="31" t="str">
        <f t="array" ref="A127">IF(120&gt;COUNT(Registar!$AH$8:$AH$207),"",INDEX(Registar!$AA$8:$AA$207,MATCH(120,Registar!$AH$8:$AH$207,0)))</f>
        <v/>
      </c>
      <c r="B127" s="31" t="str">
        <f t="array" ref="B127">IF(120&gt;COUNT(Registar!$AH$8:$AH$207),"",INDEX(Registar!$AB$8:$AB$207,MATCH(120,Registar!$AH$8:$AH$207,0)))</f>
        <v/>
      </c>
      <c r="C127" s="31" t="str">
        <f t="array" ref="C127">IF(120&gt;COUNT(Registar!$AH$8:$AH$207),"",INDEX(Registar!$H$8:$H$207,MATCH(120,Registar!$AH$8:$AH$207,0)))</f>
        <v/>
      </c>
      <c r="D127" s="38" t="str">
        <f t="array" ref="D127">IF(120&gt;COUNT(Registar!$AH$8:$AH$207),"",INDEX(Registar!$AD$8:$AD$207,MATCH(120,Registar!$AH$8:$AH$207,0)))</f>
        <v/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61.5" customHeight="1">
      <c r="A128" s="31" t="str">
        <f t="array" ref="A128">IF(121&gt;COUNT(Registar!$AH$8:$AH$207),"",INDEX(Registar!$AA$8:$AA$207,MATCH(121,Registar!$AH$8:$AH$207,0)))</f>
        <v/>
      </c>
      <c r="B128" s="31" t="str">
        <f t="array" ref="B128">IF(121&gt;COUNT(Registar!$AH$8:$AH$207),"",INDEX(Registar!$AB$8:$AB$207,MATCH(121,Registar!$AH$8:$AH$207,0)))</f>
        <v/>
      </c>
      <c r="C128" s="31" t="str">
        <f t="array" ref="C128">IF(121&gt;COUNT(Registar!$AH$8:$AH$207),"",INDEX(Registar!$H$8:$H$207,MATCH(121,Registar!$AH$8:$AH$207,0)))</f>
        <v/>
      </c>
      <c r="D128" s="38" t="str">
        <f t="array" ref="D128">IF(121&gt;COUNT(Registar!$AH$8:$AH$207),"",INDEX(Registar!$AD$8:$AD$207,MATCH(121,Registar!$AH$8:$AH$207,0)))</f>
        <v/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61.5" customHeight="1">
      <c r="A129" s="31" t="str">
        <f t="array" ref="A129">IF(122&gt;COUNT(Registar!$AH$8:$AH$207),"",INDEX(Registar!$AA$8:$AA$207,MATCH(122,Registar!$AH$8:$AH$207,0)))</f>
        <v/>
      </c>
      <c r="B129" s="31" t="str">
        <f t="array" ref="B129">IF(122&gt;COUNT(Registar!$AH$8:$AH$207),"",INDEX(Registar!$AB$8:$AB$207,MATCH(122,Registar!$AH$8:$AH$207,0)))</f>
        <v/>
      </c>
      <c r="C129" s="31" t="str">
        <f t="array" ref="C129">IF(122&gt;COUNT(Registar!$AH$8:$AH$207),"",INDEX(Registar!$H$8:$H$207,MATCH(122,Registar!$AH$8:$AH$207,0)))</f>
        <v/>
      </c>
      <c r="D129" s="38" t="str">
        <f t="array" ref="D129">IF(122&gt;COUNT(Registar!$AH$8:$AH$207),"",INDEX(Registar!$AD$8:$AD$207,MATCH(122,Registar!$AH$8:$AH$207,0)))</f>
        <v/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61.5" customHeight="1">
      <c r="A130" s="31" t="str">
        <f t="array" ref="A130">IF(123&gt;COUNT(Registar!$AH$8:$AH$207),"",INDEX(Registar!$AA$8:$AA$207,MATCH(123,Registar!$AH$8:$AH$207,0)))</f>
        <v/>
      </c>
      <c r="B130" s="31" t="str">
        <f t="array" ref="B130">IF(123&gt;COUNT(Registar!$AH$8:$AH$207),"",INDEX(Registar!$AB$8:$AB$207,MATCH(123,Registar!$AH$8:$AH$207,0)))</f>
        <v/>
      </c>
      <c r="C130" s="31" t="str">
        <f t="array" ref="C130">IF(123&gt;COUNT(Registar!$AH$8:$AH$207),"",INDEX(Registar!$H$8:$H$207,MATCH(123,Registar!$AH$8:$AH$207,0)))</f>
        <v/>
      </c>
      <c r="D130" s="38" t="str">
        <f t="array" ref="D130">IF(123&gt;COUNT(Registar!$AH$8:$AH$207),"",INDEX(Registar!$AD$8:$AD$207,MATCH(123,Registar!$AH$8:$AH$207,0)))</f>
        <v/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61.5" customHeight="1">
      <c r="A131" s="31" t="str">
        <f t="array" ref="A131">IF(124&gt;COUNT(Registar!$AH$8:$AH$207),"",INDEX(Registar!$AA$8:$AA$207,MATCH(124,Registar!$AH$8:$AH$207,0)))</f>
        <v/>
      </c>
      <c r="B131" s="31" t="str">
        <f t="array" ref="B131">IF(124&gt;COUNT(Registar!$AH$8:$AH$207),"",INDEX(Registar!$AB$8:$AB$207,MATCH(124,Registar!$AH$8:$AH$207,0)))</f>
        <v/>
      </c>
      <c r="C131" s="31" t="str">
        <f t="array" ref="C131">IF(124&gt;COUNT(Registar!$AH$8:$AH$207),"",INDEX(Registar!$H$8:$H$207,MATCH(124,Registar!$AH$8:$AH$207,0)))</f>
        <v/>
      </c>
      <c r="D131" s="38" t="str">
        <f t="array" ref="D131">IF(124&gt;COUNT(Registar!$AH$8:$AH$207),"",INDEX(Registar!$AD$8:$AD$207,MATCH(124,Registar!$AH$8:$AH$207,0)))</f>
        <v/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61.5" customHeight="1">
      <c r="A132" s="31" t="str">
        <f t="array" ref="A132">IF(125&gt;COUNT(Registar!$AH$8:$AH$207),"",INDEX(Registar!$AA$8:$AA$207,MATCH(125,Registar!$AH$8:$AH$207,0)))</f>
        <v/>
      </c>
      <c r="B132" s="31" t="str">
        <f t="array" ref="B132">IF(125&gt;COUNT(Registar!$AH$8:$AH$207),"",INDEX(Registar!$AB$8:$AB$207,MATCH(125,Registar!$AH$8:$AH$207,0)))</f>
        <v/>
      </c>
      <c r="C132" s="31" t="str">
        <f t="array" ref="C132">IF(125&gt;COUNT(Registar!$AH$8:$AH$207),"",INDEX(Registar!$H$8:$H$207,MATCH(125,Registar!$AH$8:$AH$207,0)))</f>
        <v/>
      </c>
      <c r="D132" s="38" t="str">
        <f t="array" ref="D132">IF(125&gt;COUNT(Registar!$AH$8:$AH$207),"",INDEX(Registar!$AD$8:$AD$207,MATCH(125,Registar!$AH$8:$AH$207,0)))</f>
        <v/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61.5" customHeight="1">
      <c r="A133" s="31" t="str">
        <f t="array" ref="A133">IF(126&gt;COUNT(Registar!$AH$8:$AH$207),"",INDEX(Registar!$AA$8:$AA$207,MATCH(126,Registar!$AH$8:$AH$207,0)))</f>
        <v/>
      </c>
      <c r="B133" s="31" t="str">
        <f t="array" ref="B133">IF(126&gt;COUNT(Registar!$AH$8:$AH$207),"",INDEX(Registar!$AB$8:$AB$207,MATCH(126,Registar!$AH$8:$AH$207,0)))</f>
        <v/>
      </c>
      <c r="C133" s="31" t="str">
        <f t="array" ref="C133">IF(126&gt;COUNT(Registar!$AH$8:$AH$207),"",INDEX(Registar!$H$8:$H$207,MATCH(126,Registar!$AH$8:$AH$207,0)))</f>
        <v/>
      </c>
      <c r="D133" s="38" t="str">
        <f t="array" ref="D133">IF(126&gt;COUNT(Registar!$AH$8:$AH$207),"",INDEX(Registar!$AD$8:$AD$207,MATCH(126,Registar!$AH$8:$AH$207,0)))</f>
        <v/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61.5" customHeight="1">
      <c r="A134" s="31" t="str">
        <f t="array" ref="A134">IF(127&gt;COUNT(Registar!$AH$8:$AH$207),"",INDEX(Registar!$AA$8:$AA$207,MATCH(127,Registar!$AH$8:$AH$207,0)))</f>
        <v/>
      </c>
      <c r="B134" s="31" t="str">
        <f t="array" ref="B134">IF(127&gt;COUNT(Registar!$AH$8:$AH$207),"",INDEX(Registar!$AB$8:$AB$207,MATCH(127,Registar!$AH$8:$AH$207,0)))</f>
        <v/>
      </c>
      <c r="C134" s="31" t="str">
        <f t="array" ref="C134">IF(127&gt;COUNT(Registar!$AH$8:$AH$207),"",INDEX(Registar!$H$8:$H$207,MATCH(127,Registar!$AH$8:$AH$207,0)))</f>
        <v/>
      </c>
      <c r="D134" s="38" t="str">
        <f t="array" ref="D134">IF(127&gt;COUNT(Registar!$AH$8:$AH$207),"",INDEX(Registar!$AD$8:$AD$207,MATCH(127,Registar!$AH$8:$AH$207,0)))</f>
        <v/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61.5" customHeight="1">
      <c r="A135" s="31" t="str">
        <f t="array" ref="A135">IF(128&gt;COUNT(Registar!$AH$8:$AH$207),"",INDEX(Registar!$AA$8:$AA$207,MATCH(128,Registar!$AH$8:$AH$207,0)))</f>
        <v/>
      </c>
      <c r="B135" s="31" t="str">
        <f t="array" ref="B135">IF(128&gt;COUNT(Registar!$AH$8:$AH$207),"",INDEX(Registar!$AB$8:$AB$207,MATCH(128,Registar!$AH$8:$AH$207,0)))</f>
        <v/>
      </c>
      <c r="C135" s="31" t="str">
        <f t="array" ref="C135">IF(128&gt;COUNT(Registar!$AH$8:$AH$207),"",INDEX(Registar!$H$8:$H$207,MATCH(128,Registar!$AH$8:$AH$207,0)))</f>
        <v/>
      </c>
      <c r="D135" s="38" t="str">
        <f t="array" ref="D135">IF(128&gt;COUNT(Registar!$AH$8:$AH$207),"",INDEX(Registar!$AD$8:$AD$207,MATCH(128,Registar!$AH$8:$AH$207,0)))</f>
        <v/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61.5" customHeight="1">
      <c r="A136" s="31" t="str">
        <f t="array" ref="A136">IF(129&gt;COUNT(Registar!$AH$8:$AH$207),"",INDEX(Registar!$AA$8:$AA$207,MATCH(129,Registar!$AH$8:$AH$207,0)))</f>
        <v/>
      </c>
      <c r="B136" s="31" t="str">
        <f t="array" ref="B136">IF(129&gt;COUNT(Registar!$AH$8:$AH$207),"",INDEX(Registar!$AB$8:$AB$207,MATCH(129,Registar!$AH$8:$AH$207,0)))</f>
        <v/>
      </c>
      <c r="C136" s="31" t="str">
        <f t="array" ref="C136">IF(129&gt;COUNT(Registar!$AH$8:$AH$207),"",INDEX(Registar!$H$8:$H$207,MATCH(129,Registar!$AH$8:$AH$207,0)))</f>
        <v/>
      </c>
      <c r="D136" s="38" t="str">
        <f t="array" ref="D136">IF(129&gt;COUNT(Registar!$AH$8:$AH$207),"",INDEX(Registar!$AD$8:$AD$207,MATCH(129,Registar!$AH$8:$AH$207,0)))</f>
        <v/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61.5" customHeight="1">
      <c r="A137" s="31" t="str">
        <f t="array" ref="A137">IF(130&gt;COUNT(Registar!$AH$8:$AH$207),"",INDEX(Registar!$AA$8:$AA$207,MATCH(130,Registar!$AH$8:$AH$207,0)))</f>
        <v/>
      </c>
      <c r="B137" s="31" t="str">
        <f t="array" ref="B137">IF(130&gt;COUNT(Registar!$AH$8:$AH$207),"",INDEX(Registar!$AB$8:$AB$207,MATCH(130,Registar!$AH$8:$AH$207,0)))</f>
        <v/>
      </c>
      <c r="C137" s="31" t="str">
        <f t="array" ref="C137">IF(130&gt;COUNT(Registar!$AH$8:$AH$207),"",INDEX(Registar!$H$8:$H$207,MATCH(130,Registar!$AH$8:$AH$207,0)))</f>
        <v/>
      </c>
      <c r="D137" s="38" t="str">
        <f t="array" ref="D137">IF(130&gt;COUNT(Registar!$AH$8:$AH$207),"",INDEX(Registar!$AD$8:$AD$207,MATCH(130,Registar!$AH$8:$AH$207,0)))</f>
        <v/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61.5" customHeight="1">
      <c r="A138" s="31" t="str">
        <f t="array" ref="A138">IF(131&gt;COUNT(Registar!$AH$8:$AH$207),"",INDEX(Registar!$AA$8:$AA$207,MATCH(131,Registar!$AH$8:$AH$207,0)))</f>
        <v/>
      </c>
      <c r="B138" s="31" t="str">
        <f t="array" ref="B138">IF(131&gt;COUNT(Registar!$AH$8:$AH$207),"",INDEX(Registar!$AB$8:$AB$207,MATCH(131,Registar!$AH$8:$AH$207,0)))</f>
        <v/>
      </c>
      <c r="C138" s="31" t="str">
        <f t="array" ref="C138">IF(131&gt;COUNT(Registar!$AH$8:$AH$207),"",INDEX(Registar!$H$8:$H$207,MATCH(131,Registar!$AH$8:$AH$207,0)))</f>
        <v/>
      </c>
      <c r="D138" s="38" t="str">
        <f t="array" ref="D138">IF(131&gt;COUNT(Registar!$AH$8:$AH$207),"",INDEX(Registar!$AD$8:$AD$207,MATCH(131,Registar!$AH$8:$AH$207,0)))</f>
        <v/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61.5" customHeight="1">
      <c r="A139" s="31" t="str">
        <f t="array" ref="A139">IF(132&gt;COUNT(Registar!$AH$8:$AH$207),"",INDEX(Registar!$AA$8:$AA$207,MATCH(132,Registar!$AH$8:$AH$207,0)))</f>
        <v/>
      </c>
      <c r="B139" s="31" t="str">
        <f t="array" ref="B139">IF(132&gt;COUNT(Registar!$AH$8:$AH$207),"",INDEX(Registar!$AB$8:$AB$207,MATCH(132,Registar!$AH$8:$AH$207,0)))</f>
        <v/>
      </c>
      <c r="C139" s="31" t="str">
        <f t="array" ref="C139">IF(132&gt;COUNT(Registar!$AH$8:$AH$207),"",INDEX(Registar!$H$8:$H$207,MATCH(132,Registar!$AH$8:$AH$207,0)))</f>
        <v/>
      </c>
      <c r="D139" s="38" t="str">
        <f t="array" ref="D139">IF(132&gt;COUNT(Registar!$AH$8:$AH$207),"",INDEX(Registar!$AD$8:$AD$207,MATCH(132,Registar!$AH$8:$AH$207,0)))</f>
        <v/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61.5" customHeight="1">
      <c r="A140" s="31" t="str">
        <f t="array" ref="A140">IF(133&gt;COUNT(Registar!$AH$8:$AH$207),"",INDEX(Registar!$AA$8:$AA$207,MATCH(133,Registar!$AH$8:$AH$207,0)))</f>
        <v/>
      </c>
      <c r="B140" s="31" t="str">
        <f t="array" ref="B140">IF(133&gt;COUNT(Registar!$AH$8:$AH$207),"",INDEX(Registar!$AB$8:$AB$207,MATCH(133,Registar!$AH$8:$AH$207,0)))</f>
        <v/>
      </c>
      <c r="C140" s="31" t="str">
        <f t="array" ref="C140">IF(133&gt;COUNT(Registar!$AH$8:$AH$207),"",INDEX(Registar!$H$8:$H$207,MATCH(133,Registar!$AH$8:$AH$207,0)))</f>
        <v/>
      </c>
      <c r="D140" s="38" t="str">
        <f t="array" ref="D140">IF(133&gt;COUNT(Registar!$AH$8:$AH$207),"",INDEX(Registar!$AD$8:$AD$207,MATCH(133,Registar!$AH$8:$AH$207,0)))</f>
        <v/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61.5" customHeight="1">
      <c r="A141" s="31" t="str">
        <f t="array" ref="A141">IF(134&gt;COUNT(Registar!$AH$8:$AH$207),"",INDEX(Registar!$AA$8:$AA$207,MATCH(134,Registar!$AH$8:$AH$207,0)))</f>
        <v/>
      </c>
      <c r="B141" s="31" t="str">
        <f t="array" ref="B141">IF(134&gt;COUNT(Registar!$AH$8:$AH$207),"",INDEX(Registar!$AB$8:$AB$207,MATCH(134,Registar!$AH$8:$AH$207,0)))</f>
        <v/>
      </c>
      <c r="C141" s="31" t="str">
        <f t="array" ref="C141">IF(134&gt;COUNT(Registar!$AH$8:$AH$207),"",INDEX(Registar!$H$8:$H$207,MATCH(134,Registar!$AH$8:$AH$207,0)))</f>
        <v/>
      </c>
      <c r="D141" s="38" t="str">
        <f t="array" ref="D141">IF(134&gt;COUNT(Registar!$AH$8:$AH$207),"",INDEX(Registar!$AD$8:$AD$207,MATCH(134,Registar!$AH$8:$AH$207,0)))</f>
        <v/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61.5" customHeight="1">
      <c r="A142" s="31" t="str">
        <f t="array" ref="A142">IF(135&gt;COUNT(Registar!$AH$8:$AH$207),"",INDEX(Registar!$AA$8:$AA$207,MATCH(135,Registar!$AH$8:$AH$207,0)))</f>
        <v/>
      </c>
      <c r="B142" s="31" t="str">
        <f t="array" ref="B142">IF(135&gt;COUNT(Registar!$AH$8:$AH$207),"",INDEX(Registar!$AB$8:$AB$207,MATCH(135,Registar!$AH$8:$AH$207,0)))</f>
        <v/>
      </c>
      <c r="C142" s="31" t="str">
        <f t="array" ref="C142">IF(135&gt;COUNT(Registar!$AH$8:$AH$207),"",INDEX(Registar!$H$8:$H$207,MATCH(135,Registar!$AH$8:$AH$207,0)))</f>
        <v/>
      </c>
      <c r="D142" s="38" t="str">
        <f t="array" ref="D142">IF(135&gt;COUNT(Registar!$AH$8:$AH$207),"",INDEX(Registar!$AD$8:$AD$207,MATCH(135,Registar!$AH$8:$AH$207,0)))</f>
        <v/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61.5" customHeight="1">
      <c r="A143" s="31" t="str">
        <f t="array" ref="A143">IF(136&gt;COUNT(Registar!$AH$8:$AH$207),"",INDEX(Registar!$AA$8:$AA$207,MATCH(136,Registar!$AH$8:$AH$207,0)))</f>
        <v/>
      </c>
      <c r="B143" s="31" t="str">
        <f t="array" ref="B143">IF(136&gt;COUNT(Registar!$AH$8:$AH$207),"",INDEX(Registar!$AB$8:$AB$207,MATCH(136,Registar!$AH$8:$AH$207,0)))</f>
        <v/>
      </c>
      <c r="C143" s="31" t="str">
        <f t="array" ref="C143">IF(136&gt;COUNT(Registar!$AH$8:$AH$207),"",INDEX(Registar!$H$8:$H$207,MATCH(136,Registar!$AH$8:$AH$207,0)))</f>
        <v/>
      </c>
      <c r="D143" s="38" t="str">
        <f t="array" ref="D143">IF(136&gt;COUNT(Registar!$AH$8:$AH$207),"",INDEX(Registar!$AD$8:$AD$207,MATCH(136,Registar!$AH$8:$AH$207,0)))</f>
        <v/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61.5" customHeight="1">
      <c r="A144" s="31" t="str">
        <f t="array" ref="A144">IF(137&gt;COUNT(Registar!$AH$8:$AH$207),"",INDEX(Registar!$AA$8:$AA$207,MATCH(137,Registar!$AH$8:$AH$207,0)))</f>
        <v/>
      </c>
      <c r="B144" s="31" t="str">
        <f t="array" ref="B144">IF(137&gt;COUNT(Registar!$AH$8:$AH$207),"",INDEX(Registar!$AB$8:$AB$207,MATCH(137,Registar!$AH$8:$AH$207,0)))</f>
        <v/>
      </c>
      <c r="C144" s="31" t="str">
        <f t="array" ref="C144">IF(137&gt;COUNT(Registar!$AH$8:$AH$207),"",INDEX(Registar!$H$8:$H$207,MATCH(137,Registar!$AH$8:$AH$207,0)))</f>
        <v/>
      </c>
      <c r="D144" s="38" t="str">
        <f t="array" ref="D144">IF(137&gt;COUNT(Registar!$AH$8:$AH$207),"",INDEX(Registar!$AD$8:$AD$207,MATCH(137,Registar!$AH$8:$AH$207,0)))</f>
        <v/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61.5" customHeight="1">
      <c r="A145" s="31" t="str">
        <f t="array" ref="A145">IF(138&gt;COUNT(Registar!$AH$8:$AH$207),"",INDEX(Registar!$AA$8:$AA$207,MATCH(138,Registar!$AH$8:$AH$207,0)))</f>
        <v/>
      </c>
      <c r="B145" s="31" t="str">
        <f t="array" ref="B145">IF(138&gt;COUNT(Registar!$AH$8:$AH$207),"",INDEX(Registar!$AB$8:$AB$207,MATCH(138,Registar!$AH$8:$AH$207,0)))</f>
        <v/>
      </c>
      <c r="C145" s="31" t="str">
        <f t="array" ref="C145">IF(138&gt;COUNT(Registar!$AH$8:$AH$207),"",INDEX(Registar!$H$8:$H$207,MATCH(138,Registar!$AH$8:$AH$207,0)))</f>
        <v/>
      </c>
      <c r="D145" s="38" t="str">
        <f t="array" ref="D145">IF(138&gt;COUNT(Registar!$AH$8:$AH$207),"",INDEX(Registar!$AD$8:$AD$207,MATCH(138,Registar!$AH$8:$AH$207,0)))</f>
        <v/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61.5" customHeight="1">
      <c r="A146" s="31" t="str">
        <f t="array" ref="A146">IF(139&gt;COUNT(Registar!$AH$8:$AH$207),"",INDEX(Registar!$AA$8:$AA$207,MATCH(139,Registar!$AH$8:$AH$207,0)))</f>
        <v/>
      </c>
      <c r="B146" s="31" t="str">
        <f t="array" ref="B146">IF(139&gt;COUNT(Registar!$AH$8:$AH$207),"",INDEX(Registar!$AB$8:$AB$207,MATCH(139,Registar!$AH$8:$AH$207,0)))</f>
        <v/>
      </c>
      <c r="C146" s="31" t="str">
        <f t="array" ref="C146">IF(139&gt;COUNT(Registar!$AH$8:$AH$207),"",INDEX(Registar!$H$8:$H$207,MATCH(139,Registar!$AH$8:$AH$207,0)))</f>
        <v/>
      </c>
      <c r="D146" s="38" t="str">
        <f t="array" ref="D146">IF(139&gt;COUNT(Registar!$AH$8:$AH$207),"",INDEX(Registar!$AD$8:$AD$207,MATCH(139,Registar!$AH$8:$AH$207,0)))</f>
        <v/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61.5" customHeight="1">
      <c r="A147" s="31" t="str">
        <f t="array" ref="A147">IF(140&gt;COUNT(Registar!$AH$8:$AH$207),"",INDEX(Registar!$AA$8:$AA$207,MATCH(140,Registar!$AH$8:$AH$207,0)))</f>
        <v/>
      </c>
      <c r="B147" s="31" t="str">
        <f t="array" ref="B147">IF(140&gt;COUNT(Registar!$AH$8:$AH$207),"",INDEX(Registar!$AB$8:$AB$207,MATCH(140,Registar!$AH$8:$AH$207,0)))</f>
        <v/>
      </c>
      <c r="C147" s="31" t="str">
        <f t="array" ref="C147">IF(140&gt;COUNT(Registar!$AH$8:$AH$207),"",INDEX(Registar!$H$8:$H$207,MATCH(140,Registar!$AH$8:$AH$207,0)))</f>
        <v/>
      </c>
      <c r="D147" s="38" t="str">
        <f t="array" ref="D147">IF(140&gt;COUNT(Registar!$AH$8:$AH$207),"",INDEX(Registar!$AD$8:$AD$207,MATCH(140,Registar!$AH$8:$AH$207,0)))</f>
        <v/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61.5" customHeight="1">
      <c r="A148" s="31" t="str">
        <f t="array" ref="A148">IF(141&gt;COUNT(Registar!$AH$8:$AH$207),"",INDEX(Registar!$AA$8:$AA$207,MATCH(141,Registar!$AH$8:$AH$207,0)))</f>
        <v/>
      </c>
      <c r="B148" s="31" t="str">
        <f t="array" ref="B148">IF(141&gt;COUNT(Registar!$AH$8:$AH$207),"",INDEX(Registar!$AB$8:$AB$207,MATCH(141,Registar!$AH$8:$AH$207,0)))</f>
        <v/>
      </c>
      <c r="C148" s="31" t="str">
        <f t="array" ref="C148">IF(141&gt;COUNT(Registar!$AH$8:$AH$207),"",INDEX(Registar!$H$8:$H$207,MATCH(141,Registar!$AH$8:$AH$207,0)))</f>
        <v/>
      </c>
      <c r="D148" s="38" t="str">
        <f t="array" ref="D148">IF(141&gt;COUNT(Registar!$AH$8:$AH$207),"",INDEX(Registar!$AD$8:$AD$207,MATCH(141,Registar!$AH$8:$AH$207,0)))</f>
        <v/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61.5" customHeight="1">
      <c r="A149" s="31" t="str">
        <f t="array" ref="A149">IF(142&gt;COUNT(Registar!$AH$8:$AH$207),"",INDEX(Registar!$AA$8:$AA$207,MATCH(142,Registar!$AH$8:$AH$207,0)))</f>
        <v/>
      </c>
      <c r="B149" s="31" t="str">
        <f t="array" ref="B149">IF(142&gt;COUNT(Registar!$AH$8:$AH$207),"",INDEX(Registar!$AB$8:$AB$207,MATCH(142,Registar!$AH$8:$AH$207,0)))</f>
        <v/>
      </c>
      <c r="C149" s="31" t="str">
        <f t="array" ref="C149">IF(142&gt;COUNT(Registar!$AH$8:$AH$207),"",INDEX(Registar!$H$8:$H$207,MATCH(142,Registar!$AH$8:$AH$207,0)))</f>
        <v/>
      </c>
      <c r="D149" s="38" t="str">
        <f t="array" ref="D149">IF(142&gt;COUNT(Registar!$AH$8:$AH$207),"",INDEX(Registar!$AD$8:$AD$207,MATCH(142,Registar!$AH$8:$AH$207,0)))</f>
        <v/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61.5" customHeight="1">
      <c r="A150" s="31" t="str">
        <f t="array" ref="A150">IF(143&gt;COUNT(Registar!$AH$8:$AH$207),"",INDEX(Registar!$AA$8:$AA$207,MATCH(143,Registar!$AH$8:$AH$207,0)))</f>
        <v/>
      </c>
      <c r="B150" s="31" t="str">
        <f t="array" ref="B150">IF(143&gt;COUNT(Registar!$AH$8:$AH$207),"",INDEX(Registar!$AB$8:$AB$207,MATCH(143,Registar!$AH$8:$AH$207,0)))</f>
        <v/>
      </c>
      <c r="C150" s="31" t="str">
        <f t="array" ref="C150">IF(143&gt;COUNT(Registar!$AH$8:$AH$207),"",INDEX(Registar!$H$8:$H$207,MATCH(143,Registar!$AH$8:$AH$207,0)))</f>
        <v/>
      </c>
      <c r="D150" s="38" t="str">
        <f t="array" ref="D150">IF(143&gt;COUNT(Registar!$AH$8:$AH$207),"",INDEX(Registar!$AD$8:$AD$207,MATCH(143,Registar!$AH$8:$AH$207,0)))</f>
        <v/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61.5" customHeight="1">
      <c r="A151" s="31" t="str">
        <f t="array" ref="A151">IF(144&gt;COUNT(Registar!$AH$8:$AH$207),"",INDEX(Registar!$AA$8:$AA$207,MATCH(144,Registar!$AH$8:$AH$207,0)))</f>
        <v/>
      </c>
      <c r="B151" s="31" t="str">
        <f t="array" ref="B151">IF(144&gt;COUNT(Registar!$AH$8:$AH$207),"",INDEX(Registar!$AB$8:$AB$207,MATCH(144,Registar!$AH$8:$AH$207,0)))</f>
        <v/>
      </c>
      <c r="C151" s="31" t="str">
        <f t="array" ref="C151">IF(144&gt;COUNT(Registar!$AH$8:$AH$207),"",INDEX(Registar!$H$8:$H$207,MATCH(144,Registar!$AH$8:$AH$207,0)))</f>
        <v/>
      </c>
      <c r="D151" s="38" t="str">
        <f t="array" ref="D151">IF(144&gt;COUNT(Registar!$AH$8:$AH$207),"",INDEX(Registar!$AD$8:$AD$207,MATCH(144,Registar!$AH$8:$AH$207,0)))</f>
        <v/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61.5" customHeight="1">
      <c r="A152" s="31" t="str">
        <f t="array" ref="A152">IF(145&gt;COUNT(Registar!$AH$8:$AH$207),"",INDEX(Registar!$AA$8:$AA$207,MATCH(145,Registar!$AH$8:$AH$207,0)))</f>
        <v/>
      </c>
      <c r="B152" s="31" t="str">
        <f t="array" ref="B152">IF(145&gt;COUNT(Registar!$AH$8:$AH$207),"",INDEX(Registar!$AB$8:$AB$207,MATCH(145,Registar!$AH$8:$AH$207,0)))</f>
        <v/>
      </c>
      <c r="C152" s="31" t="str">
        <f t="array" ref="C152">IF(145&gt;COUNT(Registar!$AH$8:$AH$207),"",INDEX(Registar!$H$8:$H$207,MATCH(145,Registar!$AH$8:$AH$207,0)))</f>
        <v/>
      </c>
      <c r="D152" s="38" t="str">
        <f t="array" ref="D152">IF(145&gt;COUNT(Registar!$AH$8:$AH$207),"",INDEX(Registar!$AD$8:$AD$207,MATCH(145,Registar!$AH$8:$AH$207,0)))</f>
        <v/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61.5" customHeight="1">
      <c r="A153" s="31" t="str">
        <f t="array" ref="A153">IF(146&gt;COUNT(Registar!$AH$8:$AH$207),"",INDEX(Registar!$AA$8:$AA$207,MATCH(146,Registar!$AH$8:$AH$207,0)))</f>
        <v/>
      </c>
      <c r="B153" s="31" t="str">
        <f t="array" ref="B153">IF(146&gt;COUNT(Registar!$AH$8:$AH$207),"",INDEX(Registar!$AB$8:$AB$207,MATCH(146,Registar!$AH$8:$AH$207,0)))</f>
        <v/>
      </c>
      <c r="C153" s="31" t="str">
        <f t="array" ref="C153">IF(146&gt;COUNT(Registar!$AH$8:$AH$207),"",INDEX(Registar!$H$8:$H$207,MATCH(146,Registar!$AH$8:$AH$207,0)))</f>
        <v/>
      </c>
      <c r="D153" s="38" t="str">
        <f t="array" ref="D153">IF(146&gt;COUNT(Registar!$AH$8:$AH$207),"",INDEX(Registar!$AD$8:$AD$207,MATCH(146,Registar!$AH$8:$AH$207,0)))</f>
        <v/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61.5" customHeight="1">
      <c r="A154" s="31" t="str">
        <f t="array" ref="A154">IF(147&gt;COUNT(Registar!$AH$8:$AH$207),"",INDEX(Registar!$AA$8:$AA$207,MATCH(147,Registar!$AH$8:$AH$207,0)))</f>
        <v/>
      </c>
      <c r="B154" s="31" t="str">
        <f t="array" ref="B154">IF(147&gt;COUNT(Registar!$AH$8:$AH$207),"",INDEX(Registar!$AB$8:$AB$207,MATCH(147,Registar!$AH$8:$AH$207,0)))</f>
        <v/>
      </c>
      <c r="C154" s="31" t="str">
        <f t="array" ref="C154">IF(147&gt;COUNT(Registar!$AH$8:$AH$207),"",INDEX(Registar!$H$8:$H$207,MATCH(147,Registar!$AH$8:$AH$207,0)))</f>
        <v/>
      </c>
      <c r="D154" s="38" t="str">
        <f t="array" ref="D154">IF(147&gt;COUNT(Registar!$AH$8:$AH$207),"",INDEX(Registar!$AD$8:$AD$207,MATCH(147,Registar!$AH$8:$AH$207,0)))</f>
        <v/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61.5" customHeight="1">
      <c r="A155" s="31" t="str">
        <f t="array" ref="A155">IF(148&gt;COUNT(Registar!$AH$8:$AH$207),"",INDEX(Registar!$AA$8:$AA$207,MATCH(148,Registar!$AH$8:$AH$207,0)))</f>
        <v/>
      </c>
      <c r="B155" s="31" t="str">
        <f t="array" ref="B155">IF(148&gt;COUNT(Registar!$AH$8:$AH$207),"",INDEX(Registar!$AB$8:$AB$207,MATCH(148,Registar!$AH$8:$AH$207,0)))</f>
        <v/>
      </c>
      <c r="C155" s="31" t="str">
        <f t="array" ref="C155">IF(148&gt;COUNT(Registar!$AH$8:$AH$207),"",INDEX(Registar!$H$8:$H$207,MATCH(148,Registar!$AH$8:$AH$207,0)))</f>
        <v/>
      </c>
      <c r="D155" s="38" t="str">
        <f t="array" ref="D155">IF(148&gt;COUNT(Registar!$AH$8:$AH$207),"",INDEX(Registar!$AD$8:$AD$207,MATCH(148,Registar!$AH$8:$AH$207,0)))</f>
        <v/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61.5" customHeight="1">
      <c r="A156" s="31" t="str">
        <f t="array" ref="A156">IF(149&gt;COUNT(Registar!$AH$8:$AH$207),"",INDEX(Registar!$AA$8:$AA$207,MATCH(149,Registar!$AH$8:$AH$207,0)))</f>
        <v/>
      </c>
      <c r="B156" s="31" t="str">
        <f t="array" ref="B156">IF(149&gt;COUNT(Registar!$AH$8:$AH$207),"",INDEX(Registar!$AB$8:$AB$207,MATCH(149,Registar!$AH$8:$AH$207,0)))</f>
        <v/>
      </c>
      <c r="C156" s="31" t="str">
        <f t="array" ref="C156">IF(149&gt;COUNT(Registar!$AH$8:$AH$207),"",INDEX(Registar!$H$8:$H$207,MATCH(149,Registar!$AH$8:$AH$207,0)))</f>
        <v/>
      </c>
      <c r="D156" s="38" t="str">
        <f t="array" ref="D156">IF(149&gt;COUNT(Registar!$AH$8:$AH$207),"",INDEX(Registar!$AD$8:$AD$207,MATCH(149,Registar!$AH$8:$AH$207,0)))</f>
        <v/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61.5" customHeight="1">
      <c r="A157" s="31" t="str">
        <f t="array" ref="A157">IF(150&gt;COUNT(Registar!$AH$8:$AH$207),"",INDEX(Registar!$AA$8:$AA$207,MATCH(150,Registar!$AH$8:$AH$207,0)))</f>
        <v/>
      </c>
      <c r="B157" s="31" t="str">
        <f t="array" ref="B157">IF(150&gt;COUNT(Registar!$AH$8:$AH$207),"",INDEX(Registar!$AB$8:$AB$207,MATCH(150,Registar!$AH$8:$AH$207,0)))</f>
        <v/>
      </c>
      <c r="C157" s="31" t="str">
        <f t="array" ref="C157">IF(150&gt;COUNT(Registar!$AH$8:$AH$207),"",INDEX(Registar!$H$8:$H$207,MATCH(150,Registar!$AH$8:$AH$207,0)))</f>
        <v/>
      </c>
      <c r="D157" s="38" t="str">
        <f t="array" ref="D157">IF(150&gt;COUNT(Registar!$AH$8:$AH$207),"",INDEX(Registar!$AD$8:$AD$207,MATCH(150,Registar!$AH$8:$AH$207,0)))</f>
        <v/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61.5" customHeight="1">
      <c r="A158" s="31" t="str">
        <f t="array" ref="A158">IF(151&gt;COUNT(Registar!$AH$8:$AH$207),"",INDEX(Registar!$AA$8:$AA$207,MATCH(151,Registar!$AH$8:$AH$207,0)))</f>
        <v/>
      </c>
      <c r="B158" s="31" t="str">
        <f t="array" ref="B158">IF(151&gt;COUNT(Registar!$AH$8:$AH$207),"",INDEX(Registar!$AB$8:$AB$207,MATCH(151,Registar!$AH$8:$AH$207,0)))</f>
        <v/>
      </c>
      <c r="C158" s="31" t="str">
        <f t="array" ref="C158">IF(151&gt;COUNT(Registar!$AH$8:$AH$207),"",INDEX(Registar!$H$8:$H$207,MATCH(151,Registar!$AH$8:$AH$207,0)))</f>
        <v/>
      </c>
      <c r="D158" s="38" t="str">
        <f t="array" ref="D158">IF(151&gt;COUNT(Registar!$AH$8:$AH$207),"",INDEX(Registar!$AD$8:$AD$207,MATCH(151,Registar!$AH$8:$AH$207,0)))</f>
        <v/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61.5" customHeight="1">
      <c r="A159" s="31" t="str">
        <f t="array" ref="A159">IF(152&gt;COUNT(Registar!$AH$8:$AH$207),"",INDEX(Registar!$AA$8:$AA$207,MATCH(152,Registar!$AH$8:$AH$207,0)))</f>
        <v/>
      </c>
      <c r="B159" s="31" t="str">
        <f t="array" ref="B159">IF(152&gt;COUNT(Registar!$AH$8:$AH$207),"",INDEX(Registar!$AB$8:$AB$207,MATCH(152,Registar!$AH$8:$AH$207,0)))</f>
        <v/>
      </c>
      <c r="C159" s="31" t="str">
        <f t="array" ref="C159">IF(152&gt;COUNT(Registar!$AH$8:$AH$207),"",INDEX(Registar!$H$8:$H$207,MATCH(152,Registar!$AH$8:$AH$207,0)))</f>
        <v/>
      </c>
      <c r="D159" s="38" t="str">
        <f t="array" ref="D159">IF(152&gt;COUNT(Registar!$AH$8:$AH$207),"",INDEX(Registar!$AD$8:$AD$207,MATCH(152,Registar!$AH$8:$AH$207,0)))</f>
        <v/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61.5" customHeight="1">
      <c r="A160" s="31" t="str">
        <f t="array" ref="A160">IF(153&gt;COUNT(Registar!$AH$8:$AH$207),"",INDEX(Registar!$AA$8:$AA$207,MATCH(153,Registar!$AH$8:$AH$207,0)))</f>
        <v/>
      </c>
      <c r="B160" s="31" t="str">
        <f t="array" ref="B160">IF(153&gt;COUNT(Registar!$AH$8:$AH$207),"",INDEX(Registar!$AB$8:$AB$207,MATCH(153,Registar!$AH$8:$AH$207,0)))</f>
        <v/>
      </c>
      <c r="C160" s="31" t="str">
        <f t="array" ref="C160">IF(153&gt;COUNT(Registar!$AH$8:$AH$207),"",INDEX(Registar!$H$8:$H$207,MATCH(153,Registar!$AH$8:$AH$207,0)))</f>
        <v/>
      </c>
      <c r="D160" s="38" t="str">
        <f t="array" ref="D160">IF(153&gt;COUNT(Registar!$AH$8:$AH$207),"",INDEX(Registar!$AD$8:$AD$207,MATCH(153,Registar!$AH$8:$AH$207,0)))</f>
        <v/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61.5" customHeight="1">
      <c r="A161" s="31" t="str">
        <f t="array" ref="A161">IF(154&gt;COUNT(Registar!$AH$8:$AH$207),"",INDEX(Registar!$AA$8:$AA$207,MATCH(154,Registar!$AH$8:$AH$207,0)))</f>
        <v/>
      </c>
      <c r="B161" s="31" t="str">
        <f t="array" ref="B161">IF(154&gt;COUNT(Registar!$AH$8:$AH$207),"",INDEX(Registar!$AB$8:$AB$207,MATCH(154,Registar!$AH$8:$AH$207,0)))</f>
        <v/>
      </c>
      <c r="C161" s="31" t="str">
        <f t="array" ref="C161">IF(154&gt;COUNT(Registar!$AH$8:$AH$207),"",INDEX(Registar!$H$8:$H$207,MATCH(154,Registar!$AH$8:$AH$207,0)))</f>
        <v/>
      </c>
      <c r="D161" s="38" t="str">
        <f t="array" ref="D161">IF(154&gt;COUNT(Registar!$AH$8:$AH$207),"",INDEX(Registar!$AD$8:$AD$207,MATCH(154,Registar!$AH$8:$AH$207,0)))</f>
        <v/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61.5" customHeight="1">
      <c r="A162" s="31" t="str">
        <f t="array" ref="A162">IF(155&gt;COUNT(Registar!$AH$8:$AH$207),"",INDEX(Registar!$AA$8:$AA$207,MATCH(155,Registar!$AH$8:$AH$207,0)))</f>
        <v/>
      </c>
      <c r="B162" s="31" t="str">
        <f t="array" ref="B162">IF(155&gt;COUNT(Registar!$AH$8:$AH$207),"",INDEX(Registar!$AB$8:$AB$207,MATCH(155,Registar!$AH$8:$AH$207,0)))</f>
        <v/>
      </c>
      <c r="C162" s="31" t="str">
        <f t="array" ref="C162">IF(155&gt;COUNT(Registar!$AH$8:$AH$207),"",INDEX(Registar!$H$8:$H$207,MATCH(155,Registar!$AH$8:$AH$207,0)))</f>
        <v/>
      </c>
      <c r="D162" s="38" t="str">
        <f t="array" ref="D162">IF(155&gt;COUNT(Registar!$AH$8:$AH$207),"",INDEX(Registar!$AD$8:$AD$207,MATCH(155,Registar!$AH$8:$AH$207,0)))</f>
        <v/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61.5" customHeight="1">
      <c r="A163" s="31" t="str">
        <f t="array" ref="A163">IF(156&gt;COUNT(Registar!$AH$8:$AH$207),"",INDEX(Registar!$AA$8:$AA$207,MATCH(156,Registar!$AH$8:$AH$207,0)))</f>
        <v/>
      </c>
      <c r="B163" s="31" t="str">
        <f t="array" ref="B163">IF(156&gt;COUNT(Registar!$AH$8:$AH$207),"",INDEX(Registar!$AB$8:$AB$207,MATCH(156,Registar!$AH$8:$AH$207,0)))</f>
        <v/>
      </c>
      <c r="C163" s="31" t="str">
        <f t="array" ref="C163">IF(156&gt;COUNT(Registar!$AH$8:$AH$207),"",INDEX(Registar!$H$8:$H$207,MATCH(156,Registar!$AH$8:$AH$207,0)))</f>
        <v/>
      </c>
      <c r="D163" s="38" t="str">
        <f t="array" ref="D163">IF(156&gt;COUNT(Registar!$AH$8:$AH$207),"",INDEX(Registar!$AD$8:$AD$207,MATCH(156,Registar!$AH$8:$AH$207,0)))</f>
        <v/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61.5" customHeight="1">
      <c r="A164" s="31" t="str">
        <f t="array" ref="A164">IF(157&gt;COUNT(Registar!$AH$8:$AH$207),"",INDEX(Registar!$AA$8:$AA$207,MATCH(157,Registar!$AH$8:$AH$207,0)))</f>
        <v/>
      </c>
      <c r="B164" s="31" t="str">
        <f t="array" ref="B164">IF(157&gt;COUNT(Registar!$AH$8:$AH$207),"",INDEX(Registar!$AB$8:$AB$207,MATCH(157,Registar!$AH$8:$AH$207,0)))</f>
        <v/>
      </c>
      <c r="C164" s="31" t="str">
        <f t="array" ref="C164">IF(157&gt;COUNT(Registar!$AH$8:$AH$207),"",INDEX(Registar!$H$8:$H$207,MATCH(157,Registar!$AH$8:$AH$207,0)))</f>
        <v/>
      </c>
      <c r="D164" s="38" t="str">
        <f t="array" ref="D164">IF(157&gt;COUNT(Registar!$AH$8:$AH$207),"",INDEX(Registar!$AD$8:$AD$207,MATCH(157,Registar!$AH$8:$AH$207,0)))</f>
        <v/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61.5" customHeight="1">
      <c r="A165" s="31" t="str">
        <f t="array" ref="A165">IF(158&gt;COUNT(Registar!$AH$8:$AH$207),"",INDEX(Registar!$AA$8:$AA$207,MATCH(158,Registar!$AH$8:$AH$207,0)))</f>
        <v/>
      </c>
      <c r="B165" s="31" t="str">
        <f t="array" ref="B165">IF(158&gt;COUNT(Registar!$AH$8:$AH$207),"",INDEX(Registar!$AB$8:$AB$207,MATCH(158,Registar!$AH$8:$AH$207,0)))</f>
        <v/>
      </c>
      <c r="C165" s="31" t="str">
        <f t="array" ref="C165">IF(158&gt;COUNT(Registar!$AH$8:$AH$207),"",INDEX(Registar!$H$8:$H$207,MATCH(158,Registar!$AH$8:$AH$207,0)))</f>
        <v/>
      </c>
      <c r="D165" s="38" t="str">
        <f t="array" ref="D165">IF(158&gt;COUNT(Registar!$AH$8:$AH$207),"",INDEX(Registar!$AD$8:$AD$207,MATCH(158,Registar!$AH$8:$AH$207,0)))</f>
        <v/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61.5" customHeight="1">
      <c r="A166" s="31" t="str">
        <f t="array" ref="A166">IF(159&gt;COUNT(Registar!$AH$8:$AH$207),"",INDEX(Registar!$AA$8:$AA$207,MATCH(159,Registar!$AH$8:$AH$207,0)))</f>
        <v/>
      </c>
      <c r="B166" s="31" t="str">
        <f t="array" ref="B166">IF(159&gt;COUNT(Registar!$AH$8:$AH$207),"",INDEX(Registar!$AB$8:$AB$207,MATCH(159,Registar!$AH$8:$AH$207,0)))</f>
        <v/>
      </c>
      <c r="C166" s="31" t="str">
        <f t="array" ref="C166">IF(159&gt;COUNT(Registar!$AH$8:$AH$207),"",INDEX(Registar!$H$8:$H$207,MATCH(159,Registar!$AH$8:$AH$207,0)))</f>
        <v/>
      </c>
      <c r="D166" s="38" t="str">
        <f t="array" ref="D166">IF(159&gt;COUNT(Registar!$AH$8:$AH$207),"",INDEX(Registar!$AD$8:$AD$207,MATCH(159,Registar!$AH$8:$AH$207,0)))</f>
        <v/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61.5" customHeight="1">
      <c r="A167" s="31" t="str">
        <f t="array" ref="A167">IF(160&gt;COUNT(Registar!$AH$8:$AH$207),"",INDEX(Registar!$AA$8:$AA$207,MATCH(160,Registar!$AH$8:$AH$207,0)))</f>
        <v/>
      </c>
      <c r="B167" s="31" t="str">
        <f t="array" ref="B167">IF(160&gt;COUNT(Registar!$AH$8:$AH$207),"",INDEX(Registar!$AB$8:$AB$207,MATCH(160,Registar!$AH$8:$AH$207,0)))</f>
        <v/>
      </c>
      <c r="C167" s="31" t="str">
        <f t="array" ref="C167">IF(160&gt;COUNT(Registar!$AH$8:$AH$207),"",INDEX(Registar!$H$8:$H$207,MATCH(160,Registar!$AH$8:$AH$207,0)))</f>
        <v/>
      </c>
      <c r="D167" s="38" t="str">
        <f t="array" ref="D167">IF(160&gt;COUNT(Registar!$AH$8:$AH$207),"",INDEX(Registar!$AD$8:$AD$207,MATCH(160,Registar!$AH$8:$AH$207,0)))</f>
        <v/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61.5" customHeight="1">
      <c r="A168" s="31" t="str">
        <f t="array" ref="A168">IF(161&gt;COUNT(Registar!$AH$8:$AH$207),"",INDEX(Registar!$AA$8:$AA$207,MATCH(161,Registar!$AH$8:$AH$207,0)))</f>
        <v/>
      </c>
      <c r="B168" s="31" t="str">
        <f t="array" ref="B168">IF(161&gt;COUNT(Registar!$AH$8:$AH$207),"",INDEX(Registar!$AB$8:$AB$207,MATCH(161,Registar!$AH$8:$AH$207,0)))</f>
        <v/>
      </c>
      <c r="C168" s="31" t="str">
        <f t="array" ref="C168">IF(161&gt;COUNT(Registar!$AH$8:$AH$207),"",INDEX(Registar!$H$8:$H$207,MATCH(161,Registar!$AH$8:$AH$207,0)))</f>
        <v/>
      </c>
      <c r="D168" s="38" t="str">
        <f t="array" ref="D168">IF(161&gt;COUNT(Registar!$AH$8:$AH$207),"",INDEX(Registar!$AD$8:$AD$207,MATCH(161,Registar!$AH$8:$AH$207,0)))</f>
        <v/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61.5" customHeight="1">
      <c r="A169" s="31" t="str">
        <f t="array" ref="A169">IF(162&gt;COUNT(Registar!$AH$8:$AH$207),"",INDEX(Registar!$AA$8:$AA$207,MATCH(162,Registar!$AH$8:$AH$207,0)))</f>
        <v/>
      </c>
      <c r="B169" s="31" t="str">
        <f t="array" ref="B169">IF(162&gt;COUNT(Registar!$AH$8:$AH$207),"",INDEX(Registar!$AB$8:$AB$207,MATCH(162,Registar!$AH$8:$AH$207,0)))</f>
        <v/>
      </c>
      <c r="C169" s="31" t="str">
        <f t="array" ref="C169">IF(162&gt;COUNT(Registar!$AH$8:$AH$207),"",INDEX(Registar!$H$8:$H$207,MATCH(162,Registar!$AH$8:$AH$207,0)))</f>
        <v/>
      </c>
      <c r="D169" s="38" t="str">
        <f t="array" ref="D169">IF(162&gt;COUNT(Registar!$AH$8:$AH$207),"",INDEX(Registar!$AD$8:$AD$207,MATCH(162,Registar!$AH$8:$AH$207,0)))</f>
        <v/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61.5" customHeight="1">
      <c r="A170" s="31" t="str">
        <f t="array" ref="A170">IF(163&gt;COUNT(Registar!$AH$8:$AH$207),"",INDEX(Registar!$AA$8:$AA$207,MATCH(163,Registar!$AH$8:$AH$207,0)))</f>
        <v/>
      </c>
      <c r="B170" s="31" t="str">
        <f t="array" ref="B170">IF(163&gt;COUNT(Registar!$AH$8:$AH$207),"",INDEX(Registar!$AB$8:$AB$207,MATCH(163,Registar!$AH$8:$AH$207,0)))</f>
        <v/>
      </c>
      <c r="C170" s="31" t="str">
        <f t="array" ref="C170">IF(163&gt;COUNT(Registar!$AH$8:$AH$207),"",INDEX(Registar!$H$8:$H$207,MATCH(163,Registar!$AH$8:$AH$207,0)))</f>
        <v/>
      </c>
      <c r="D170" s="38" t="str">
        <f t="array" ref="D170">IF(163&gt;COUNT(Registar!$AH$8:$AH$207),"",INDEX(Registar!$AD$8:$AD$207,MATCH(163,Registar!$AH$8:$AH$207,0)))</f>
        <v/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61.5" customHeight="1">
      <c r="A171" s="31" t="str">
        <f t="array" ref="A171">IF(164&gt;COUNT(Registar!$AH$8:$AH$207),"",INDEX(Registar!$AA$8:$AA$207,MATCH(164,Registar!$AH$8:$AH$207,0)))</f>
        <v/>
      </c>
      <c r="B171" s="31" t="str">
        <f t="array" ref="B171">IF(164&gt;COUNT(Registar!$AH$8:$AH$207),"",INDEX(Registar!$AB$8:$AB$207,MATCH(164,Registar!$AH$8:$AH$207,0)))</f>
        <v/>
      </c>
      <c r="C171" s="31" t="str">
        <f t="array" ref="C171">IF(164&gt;COUNT(Registar!$AH$8:$AH$207),"",INDEX(Registar!$H$8:$H$207,MATCH(164,Registar!$AH$8:$AH$207,0)))</f>
        <v/>
      </c>
      <c r="D171" s="38" t="str">
        <f t="array" ref="D171">IF(164&gt;COUNT(Registar!$AH$8:$AH$207),"",INDEX(Registar!$AD$8:$AD$207,MATCH(164,Registar!$AH$8:$AH$207,0)))</f>
        <v/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61.5" customHeight="1">
      <c r="A172" s="31" t="str">
        <f t="array" ref="A172">IF(165&gt;COUNT(Registar!$AH$8:$AH$207),"",INDEX(Registar!$AA$8:$AA$207,MATCH(165,Registar!$AH$8:$AH$207,0)))</f>
        <v/>
      </c>
      <c r="B172" s="31" t="str">
        <f t="array" ref="B172">IF(165&gt;COUNT(Registar!$AH$8:$AH$207),"",INDEX(Registar!$AB$8:$AB$207,MATCH(165,Registar!$AH$8:$AH$207,0)))</f>
        <v/>
      </c>
      <c r="C172" s="31" t="str">
        <f t="array" ref="C172">IF(165&gt;COUNT(Registar!$AH$8:$AH$207),"",INDEX(Registar!$H$8:$H$207,MATCH(165,Registar!$AH$8:$AH$207,0)))</f>
        <v/>
      </c>
      <c r="D172" s="38" t="str">
        <f t="array" ref="D172">IF(165&gt;COUNT(Registar!$AH$8:$AH$207),"",INDEX(Registar!$AD$8:$AD$207,MATCH(165,Registar!$AH$8:$AH$207,0)))</f>
        <v/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61.5" customHeight="1">
      <c r="A173" s="31" t="str">
        <f t="array" ref="A173">IF(166&gt;COUNT(Registar!$AH$8:$AH$207),"",INDEX(Registar!$AA$8:$AA$207,MATCH(166,Registar!$AH$8:$AH$207,0)))</f>
        <v/>
      </c>
      <c r="B173" s="31" t="str">
        <f t="array" ref="B173">IF(166&gt;COUNT(Registar!$AH$8:$AH$207),"",INDEX(Registar!$AB$8:$AB$207,MATCH(166,Registar!$AH$8:$AH$207,0)))</f>
        <v/>
      </c>
      <c r="C173" s="31" t="str">
        <f t="array" ref="C173">IF(166&gt;COUNT(Registar!$AH$8:$AH$207),"",INDEX(Registar!$H$8:$H$207,MATCH(166,Registar!$AH$8:$AH$207,0)))</f>
        <v/>
      </c>
      <c r="D173" s="38" t="str">
        <f t="array" ref="D173">IF(166&gt;COUNT(Registar!$AH$8:$AH$207),"",INDEX(Registar!$AD$8:$AD$207,MATCH(166,Registar!$AH$8:$AH$207,0)))</f>
        <v/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61.5" customHeight="1">
      <c r="A174" s="31" t="str">
        <f t="array" ref="A174">IF(167&gt;COUNT(Registar!$AH$8:$AH$207),"",INDEX(Registar!$AA$8:$AA$207,MATCH(167,Registar!$AH$8:$AH$207,0)))</f>
        <v/>
      </c>
      <c r="B174" s="31" t="str">
        <f t="array" ref="B174">IF(167&gt;COUNT(Registar!$AH$8:$AH$207),"",INDEX(Registar!$AB$8:$AB$207,MATCH(167,Registar!$AH$8:$AH$207,0)))</f>
        <v/>
      </c>
      <c r="C174" s="31" t="str">
        <f t="array" ref="C174">IF(167&gt;COUNT(Registar!$AH$8:$AH$207),"",INDEX(Registar!$H$8:$H$207,MATCH(167,Registar!$AH$8:$AH$207,0)))</f>
        <v/>
      </c>
      <c r="D174" s="38" t="str">
        <f t="array" ref="D174">IF(167&gt;COUNT(Registar!$AH$8:$AH$207),"",INDEX(Registar!$AD$8:$AD$207,MATCH(167,Registar!$AH$8:$AH$207,0)))</f>
        <v/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61.5" customHeight="1">
      <c r="A175" s="31" t="str">
        <f t="array" ref="A175">IF(168&gt;COUNT(Registar!$AH$8:$AH$207),"",INDEX(Registar!$AA$8:$AA$207,MATCH(168,Registar!$AH$8:$AH$207,0)))</f>
        <v/>
      </c>
      <c r="B175" s="31" t="str">
        <f t="array" ref="B175">IF(168&gt;COUNT(Registar!$AH$8:$AH$207),"",INDEX(Registar!$AB$8:$AB$207,MATCH(168,Registar!$AH$8:$AH$207,0)))</f>
        <v/>
      </c>
      <c r="C175" s="31" t="str">
        <f t="array" ref="C175">IF(168&gt;COUNT(Registar!$AH$8:$AH$207),"",INDEX(Registar!$H$8:$H$207,MATCH(168,Registar!$AH$8:$AH$207,0)))</f>
        <v/>
      </c>
      <c r="D175" s="38" t="str">
        <f t="array" ref="D175">IF(168&gt;COUNT(Registar!$AH$8:$AH$207),"",INDEX(Registar!$AD$8:$AD$207,MATCH(168,Registar!$AH$8:$AH$207,0)))</f>
        <v/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61.5" customHeight="1">
      <c r="A176" s="31" t="str">
        <f t="array" ref="A176">IF(169&gt;COUNT(Registar!$AH$8:$AH$207),"",INDEX(Registar!$AA$8:$AA$207,MATCH(169,Registar!$AH$8:$AH$207,0)))</f>
        <v/>
      </c>
      <c r="B176" s="31" t="str">
        <f t="array" ref="B176">IF(169&gt;COUNT(Registar!$AH$8:$AH$207),"",INDEX(Registar!$AB$8:$AB$207,MATCH(169,Registar!$AH$8:$AH$207,0)))</f>
        <v/>
      </c>
      <c r="C176" s="31" t="str">
        <f t="array" ref="C176">IF(169&gt;COUNT(Registar!$AH$8:$AH$207),"",INDEX(Registar!$H$8:$H$207,MATCH(169,Registar!$AH$8:$AH$207,0)))</f>
        <v/>
      </c>
      <c r="D176" s="38" t="str">
        <f t="array" ref="D176">IF(169&gt;COUNT(Registar!$AH$8:$AH$207),"",INDEX(Registar!$AD$8:$AD$207,MATCH(169,Registar!$AH$8:$AH$207,0)))</f>
        <v/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61.5" customHeight="1">
      <c r="A177" s="31" t="str">
        <f t="array" ref="A177">IF(170&gt;COUNT(Registar!$AH$8:$AH$207),"",INDEX(Registar!$AA$8:$AA$207,MATCH(170,Registar!$AH$8:$AH$207,0)))</f>
        <v/>
      </c>
      <c r="B177" s="31" t="str">
        <f t="array" ref="B177">IF(170&gt;COUNT(Registar!$AH$8:$AH$207),"",INDEX(Registar!$AB$8:$AB$207,MATCH(170,Registar!$AH$8:$AH$207,0)))</f>
        <v/>
      </c>
      <c r="C177" s="31" t="str">
        <f t="array" ref="C177">IF(170&gt;COUNT(Registar!$AH$8:$AH$207),"",INDEX(Registar!$H$8:$H$207,MATCH(170,Registar!$AH$8:$AH$207,0)))</f>
        <v/>
      </c>
      <c r="D177" s="38" t="str">
        <f t="array" ref="D177">IF(170&gt;COUNT(Registar!$AH$8:$AH$207),"",INDEX(Registar!$AD$8:$AD$207,MATCH(170,Registar!$AH$8:$AH$207,0)))</f>
        <v/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61.5" customHeight="1">
      <c r="A178" s="31" t="str">
        <f t="array" ref="A178">IF(171&gt;COUNT(Registar!$AH$8:$AH$207),"",INDEX(Registar!$AA$8:$AA$207,MATCH(171,Registar!$AH$8:$AH$207,0)))</f>
        <v/>
      </c>
      <c r="B178" s="31" t="str">
        <f t="array" ref="B178">IF(171&gt;COUNT(Registar!$AH$8:$AH$207),"",INDEX(Registar!$AB$8:$AB$207,MATCH(171,Registar!$AH$8:$AH$207,0)))</f>
        <v/>
      </c>
      <c r="C178" s="31" t="str">
        <f t="array" ref="C178">IF(171&gt;COUNT(Registar!$AH$8:$AH$207),"",INDEX(Registar!$H$8:$H$207,MATCH(171,Registar!$AH$8:$AH$207,0)))</f>
        <v/>
      </c>
      <c r="D178" s="38" t="str">
        <f t="array" ref="D178">IF(171&gt;COUNT(Registar!$AH$8:$AH$207),"",INDEX(Registar!$AD$8:$AD$207,MATCH(171,Registar!$AH$8:$AH$207,0)))</f>
        <v/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61.5" customHeight="1">
      <c r="A179" s="31" t="str">
        <f t="array" ref="A179">IF(172&gt;COUNT(Registar!$AH$8:$AH$207),"",INDEX(Registar!$AA$8:$AA$207,MATCH(172,Registar!$AH$8:$AH$207,0)))</f>
        <v/>
      </c>
      <c r="B179" s="31" t="str">
        <f t="array" ref="B179">IF(172&gt;COUNT(Registar!$AH$8:$AH$207),"",INDEX(Registar!$AB$8:$AB$207,MATCH(172,Registar!$AH$8:$AH$207,0)))</f>
        <v/>
      </c>
      <c r="C179" s="31" t="str">
        <f t="array" ref="C179">IF(172&gt;COUNT(Registar!$AH$8:$AH$207),"",INDEX(Registar!$H$8:$H$207,MATCH(172,Registar!$AH$8:$AH$207,0)))</f>
        <v/>
      </c>
      <c r="D179" s="38" t="str">
        <f t="array" ref="D179">IF(172&gt;COUNT(Registar!$AH$8:$AH$207),"",INDEX(Registar!$AD$8:$AD$207,MATCH(172,Registar!$AH$8:$AH$207,0)))</f>
        <v/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61.5" customHeight="1">
      <c r="A180" s="31" t="str">
        <f t="array" ref="A180">IF(173&gt;COUNT(Registar!$AH$8:$AH$207),"",INDEX(Registar!$AA$8:$AA$207,MATCH(173,Registar!$AH$8:$AH$207,0)))</f>
        <v/>
      </c>
      <c r="B180" s="31" t="str">
        <f t="array" ref="B180">IF(173&gt;COUNT(Registar!$AH$8:$AH$207),"",INDEX(Registar!$AB$8:$AB$207,MATCH(173,Registar!$AH$8:$AH$207,0)))</f>
        <v/>
      </c>
      <c r="C180" s="31" t="str">
        <f t="array" ref="C180">IF(173&gt;COUNT(Registar!$AH$8:$AH$207),"",INDEX(Registar!$H$8:$H$207,MATCH(173,Registar!$AH$8:$AH$207,0)))</f>
        <v/>
      </c>
      <c r="D180" s="38" t="str">
        <f t="array" ref="D180">IF(173&gt;COUNT(Registar!$AH$8:$AH$207),"",INDEX(Registar!$AD$8:$AD$207,MATCH(173,Registar!$AH$8:$AH$207,0)))</f>
        <v/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61.5" customHeight="1">
      <c r="A181" s="31" t="str">
        <f t="array" ref="A181">IF(174&gt;COUNT(Registar!$AH$8:$AH$207),"",INDEX(Registar!$AA$8:$AA$207,MATCH(174,Registar!$AH$8:$AH$207,0)))</f>
        <v/>
      </c>
      <c r="B181" s="31" t="str">
        <f t="array" ref="B181">IF(174&gt;COUNT(Registar!$AH$8:$AH$207),"",INDEX(Registar!$AB$8:$AB$207,MATCH(174,Registar!$AH$8:$AH$207,0)))</f>
        <v/>
      </c>
      <c r="C181" s="31" t="str">
        <f t="array" ref="C181">IF(174&gt;COUNT(Registar!$AH$8:$AH$207),"",INDEX(Registar!$H$8:$H$207,MATCH(174,Registar!$AH$8:$AH$207,0)))</f>
        <v/>
      </c>
      <c r="D181" s="38" t="str">
        <f t="array" ref="D181">IF(174&gt;COUNT(Registar!$AH$8:$AH$207),"",INDEX(Registar!$AD$8:$AD$207,MATCH(174,Registar!$AH$8:$AH$207,0)))</f>
        <v/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61.5" customHeight="1">
      <c r="A182" s="31" t="str">
        <f t="array" ref="A182">IF(175&gt;COUNT(Registar!$AH$8:$AH$207),"",INDEX(Registar!$AA$8:$AA$207,MATCH(175,Registar!$AH$8:$AH$207,0)))</f>
        <v/>
      </c>
      <c r="B182" s="31" t="str">
        <f t="array" ref="B182">IF(175&gt;COUNT(Registar!$AH$8:$AH$207),"",INDEX(Registar!$AB$8:$AB$207,MATCH(175,Registar!$AH$8:$AH$207,0)))</f>
        <v/>
      </c>
      <c r="C182" s="31" t="str">
        <f t="array" ref="C182">IF(175&gt;COUNT(Registar!$AH$8:$AH$207),"",INDEX(Registar!$H$8:$H$207,MATCH(175,Registar!$AH$8:$AH$207,0)))</f>
        <v/>
      </c>
      <c r="D182" s="38" t="str">
        <f t="array" ref="D182">IF(175&gt;COUNT(Registar!$AH$8:$AH$207),"",INDEX(Registar!$AD$8:$AD$207,MATCH(175,Registar!$AH$8:$AH$207,0)))</f>
        <v/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61.5" customHeight="1">
      <c r="A183" s="31" t="str">
        <f t="array" ref="A183">IF(176&gt;COUNT(Registar!$AH$8:$AH$207),"",INDEX(Registar!$AA$8:$AA$207,MATCH(176,Registar!$AH$8:$AH$207,0)))</f>
        <v/>
      </c>
      <c r="B183" s="31" t="str">
        <f t="array" ref="B183">IF(176&gt;COUNT(Registar!$AH$8:$AH$207),"",INDEX(Registar!$AB$8:$AB$207,MATCH(176,Registar!$AH$8:$AH$207,0)))</f>
        <v/>
      </c>
      <c r="C183" s="31" t="str">
        <f t="array" ref="C183">IF(176&gt;COUNT(Registar!$AH$8:$AH$207),"",INDEX(Registar!$H$8:$H$207,MATCH(176,Registar!$AH$8:$AH$207,0)))</f>
        <v/>
      </c>
      <c r="D183" s="38" t="str">
        <f t="array" ref="D183">IF(176&gt;COUNT(Registar!$AH$8:$AH$207),"",INDEX(Registar!$AD$8:$AD$207,MATCH(176,Registar!$AH$8:$AH$207,0)))</f>
        <v/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61.5" customHeight="1">
      <c r="A184" s="31" t="str">
        <f t="array" ref="A184">IF(177&gt;COUNT(Registar!$AH$8:$AH$207),"",INDEX(Registar!$AA$8:$AA$207,MATCH(177,Registar!$AH$8:$AH$207,0)))</f>
        <v/>
      </c>
      <c r="B184" s="31" t="str">
        <f t="array" ref="B184">IF(177&gt;COUNT(Registar!$AH$8:$AH$207),"",INDEX(Registar!$AB$8:$AB$207,MATCH(177,Registar!$AH$8:$AH$207,0)))</f>
        <v/>
      </c>
      <c r="C184" s="31" t="str">
        <f t="array" ref="C184">IF(177&gt;COUNT(Registar!$AH$8:$AH$207),"",INDEX(Registar!$H$8:$H$207,MATCH(177,Registar!$AH$8:$AH$207,0)))</f>
        <v/>
      </c>
      <c r="D184" s="38" t="str">
        <f t="array" ref="D184">IF(177&gt;COUNT(Registar!$AH$8:$AH$207),"",INDEX(Registar!$AD$8:$AD$207,MATCH(177,Registar!$AH$8:$AH$207,0)))</f>
        <v/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61.5" customHeight="1">
      <c r="A185" s="31" t="str">
        <f t="array" ref="A185">IF(178&gt;COUNT(Registar!$AH$8:$AH$207),"",INDEX(Registar!$AA$8:$AA$207,MATCH(178,Registar!$AH$8:$AH$207,0)))</f>
        <v/>
      </c>
      <c r="B185" s="31" t="str">
        <f t="array" ref="B185">IF(178&gt;COUNT(Registar!$AH$8:$AH$207),"",INDEX(Registar!$AB$8:$AB$207,MATCH(178,Registar!$AH$8:$AH$207,0)))</f>
        <v/>
      </c>
      <c r="C185" s="31" t="str">
        <f t="array" ref="C185">IF(178&gt;COUNT(Registar!$AH$8:$AH$207),"",INDEX(Registar!$H$8:$H$207,MATCH(178,Registar!$AH$8:$AH$207,0)))</f>
        <v/>
      </c>
      <c r="D185" s="38" t="str">
        <f t="array" ref="D185">IF(178&gt;COUNT(Registar!$AH$8:$AH$207),"",INDEX(Registar!$AD$8:$AD$207,MATCH(178,Registar!$AH$8:$AH$207,0)))</f>
        <v/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61.5" customHeight="1">
      <c r="A186" s="31" t="str">
        <f t="array" ref="A186">IF(179&gt;COUNT(Registar!$AH$8:$AH$207),"",INDEX(Registar!$AA$8:$AA$207,MATCH(179,Registar!$AH$8:$AH$207,0)))</f>
        <v/>
      </c>
      <c r="B186" s="31" t="str">
        <f t="array" ref="B186">IF(179&gt;COUNT(Registar!$AH$8:$AH$207),"",INDEX(Registar!$AB$8:$AB$207,MATCH(179,Registar!$AH$8:$AH$207,0)))</f>
        <v/>
      </c>
      <c r="C186" s="31" t="str">
        <f t="array" ref="C186">IF(179&gt;COUNT(Registar!$AH$8:$AH$207),"",INDEX(Registar!$H$8:$H$207,MATCH(179,Registar!$AH$8:$AH$207,0)))</f>
        <v/>
      </c>
      <c r="D186" s="38" t="str">
        <f t="array" ref="D186">IF(179&gt;COUNT(Registar!$AH$8:$AH$207),"",INDEX(Registar!$AD$8:$AD$207,MATCH(179,Registar!$AH$8:$AH$207,0)))</f>
        <v/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61.5" customHeight="1">
      <c r="A187" s="31" t="str">
        <f t="array" ref="A187">IF(180&gt;COUNT(Registar!$AH$8:$AH$207),"",INDEX(Registar!$AA$8:$AA$207,MATCH(180,Registar!$AH$8:$AH$207,0)))</f>
        <v/>
      </c>
      <c r="B187" s="31" t="str">
        <f t="array" ref="B187">IF(180&gt;COUNT(Registar!$AH$8:$AH$207),"",INDEX(Registar!$AB$8:$AB$207,MATCH(180,Registar!$AH$8:$AH$207,0)))</f>
        <v/>
      </c>
      <c r="C187" s="31" t="str">
        <f t="array" ref="C187">IF(180&gt;COUNT(Registar!$AH$8:$AH$207),"",INDEX(Registar!$H$8:$H$207,MATCH(180,Registar!$AH$8:$AH$207,0)))</f>
        <v/>
      </c>
      <c r="D187" s="38" t="str">
        <f t="array" ref="D187">IF(180&gt;COUNT(Registar!$AH$8:$AH$207),"",INDEX(Registar!$AD$8:$AD$207,MATCH(180,Registar!$AH$8:$AH$207,0)))</f>
        <v/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61.5" customHeight="1">
      <c r="A188" s="31" t="str">
        <f t="array" ref="A188">IF(181&gt;COUNT(Registar!$AH$8:$AH$207),"",INDEX(Registar!$AA$8:$AA$207,MATCH(181,Registar!$AH$8:$AH$207,0)))</f>
        <v/>
      </c>
      <c r="B188" s="31" t="str">
        <f t="array" ref="B188">IF(181&gt;COUNT(Registar!$AH$8:$AH$207),"",INDEX(Registar!$AB$8:$AB$207,MATCH(181,Registar!$AH$8:$AH$207,0)))</f>
        <v/>
      </c>
      <c r="C188" s="31" t="str">
        <f t="array" ref="C188">IF(181&gt;COUNT(Registar!$AH$8:$AH$207),"",INDEX(Registar!$H$8:$H$207,MATCH(181,Registar!$AH$8:$AH$207,0)))</f>
        <v/>
      </c>
      <c r="D188" s="38" t="str">
        <f t="array" ref="D188">IF(181&gt;COUNT(Registar!$AH$8:$AH$207),"",INDEX(Registar!$AD$8:$AD$207,MATCH(181,Registar!$AH$8:$AH$207,0)))</f>
        <v/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61.5" customHeight="1">
      <c r="A189" s="31" t="str">
        <f t="array" ref="A189">IF(182&gt;COUNT(Registar!$AH$8:$AH$207),"",INDEX(Registar!$AA$8:$AA$207,MATCH(182,Registar!$AH$8:$AH$207,0)))</f>
        <v/>
      </c>
      <c r="B189" s="31" t="str">
        <f t="array" ref="B189">IF(182&gt;COUNT(Registar!$AH$8:$AH$207),"",INDEX(Registar!$AB$8:$AB$207,MATCH(182,Registar!$AH$8:$AH$207,0)))</f>
        <v/>
      </c>
      <c r="C189" s="31" t="str">
        <f t="array" ref="C189">IF(182&gt;COUNT(Registar!$AH$8:$AH$207),"",INDEX(Registar!$H$8:$H$207,MATCH(182,Registar!$AH$8:$AH$207,0)))</f>
        <v/>
      </c>
      <c r="D189" s="38" t="str">
        <f t="array" ref="D189">IF(182&gt;COUNT(Registar!$AH$8:$AH$207),"",INDEX(Registar!$AD$8:$AD$207,MATCH(182,Registar!$AH$8:$AH$207,0)))</f>
        <v/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61.5" customHeight="1">
      <c r="A190" s="31" t="str">
        <f t="array" ref="A190">IF(183&gt;COUNT(Registar!$AH$8:$AH$207),"",INDEX(Registar!$AA$8:$AA$207,MATCH(183,Registar!$AH$8:$AH$207,0)))</f>
        <v/>
      </c>
      <c r="B190" s="31" t="str">
        <f t="array" ref="B190">IF(183&gt;COUNT(Registar!$AH$8:$AH$207),"",INDEX(Registar!$AB$8:$AB$207,MATCH(183,Registar!$AH$8:$AH$207,0)))</f>
        <v/>
      </c>
      <c r="C190" s="31" t="str">
        <f t="array" ref="C190">IF(183&gt;COUNT(Registar!$AH$8:$AH$207),"",INDEX(Registar!$H$8:$H$207,MATCH(183,Registar!$AH$8:$AH$207,0)))</f>
        <v/>
      </c>
      <c r="D190" s="38" t="str">
        <f t="array" ref="D190">IF(183&gt;COUNT(Registar!$AH$8:$AH$207),"",INDEX(Registar!$AD$8:$AD$207,MATCH(183,Registar!$AH$8:$AH$207,0)))</f>
        <v/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61.5" customHeight="1">
      <c r="A191" s="31" t="str">
        <f t="array" ref="A191">IF(184&gt;COUNT(Registar!$AH$8:$AH$207),"",INDEX(Registar!$AA$8:$AA$207,MATCH(184,Registar!$AH$8:$AH$207,0)))</f>
        <v/>
      </c>
      <c r="B191" s="31" t="str">
        <f t="array" ref="B191">IF(184&gt;COUNT(Registar!$AH$8:$AH$207),"",INDEX(Registar!$AB$8:$AB$207,MATCH(184,Registar!$AH$8:$AH$207,0)))</f>
        <v/>
      </c>
      <c r="C191" s="31" t="str">
        <f t="array" ref="C191">IF(184&gt;COUNT(Registar!$AH$8:$AH$207),"",INDEX(Registar!$H$8:$H$207,MATCH(184,Registar!$AH$8:$AH$207,0)))</f>
        <v/>
      </c>
      <c r="D191" s="38" t="str">
        <f t="array" ref="D191">IF(184&gt;COUNT(Registar!$AH$8:$AH$207),"",INDEX(Registar!$AD$8:$AD$207,MATCH(184,Registar!$AH$8:$AH$207,0)))</f>
        <v/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61.5" customHeight="1">
      <c r="A192" s="31" t="str">
        <f t="array" ref="A192">IF(185&gt;COUNT(Registar!$AH$8:$AH$207),"",INDEX(Registar!$AA$8:$AA$207,MATCH(185,Registar!$AH$8:$AH$207,0)))</f>
        <v/>
      </c>
      <c r="B192" s="31" t="str">
        <f t="array" ref="B192">IF(185&gt;COUNT(Registar!$AH$8:$AH$207),"",INDEX(Registar!$AB$8:$AB$207,MATCH(185,Registar!$AH$8:$AH$207,0)))</f>
        <v/>
      </c>
      <c r="C192" s="31" t="str">
        <f t="array" ref="C192">IF(185&gt;COUNT(Registar!$AH$8:$AH$207),"",INDEX(Registar!$H$8:$H$207,MATCH(185,Registar!$AH$8:$AH$207,0)))</f>
        <v/>
      </c>
      <c r="D192" s="38" t="str">
        <f t="array" ref="D192">IF(185&gt;COUNT(Registar!$AH$8:$AH$207),"",INDEX(Registar!$AD$8:$AD$207,MATCH(185,Registar!$AH$8:$AH$207,0)))</f>
        <v/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61.5" customHeight="1">
      <c r="A193" s="31" t="str">
        <f t="array" ref="A193">IF(186&gt;COUNT(Registar!$AH$8:$AH$207),"",INDEX(Registar!$AA$8:$AA$207,MATCH(186,Registar!$AH$8:$AH$207,0)))</f>
        <v/>
      </c>
      <c r="B193" s="31" t="str">
        <f t="array" ref="B193">IF(186&gt;COUNT(Registar!$AH$8:$AH$207),"",INDEX(Registar!$AB$8:$AB$207,MATCH(186,Registar!$AH$8:$AH$207,0)))</f>
        <v/>
      </c>
      <c r="C193" s="31" t="str">
        <f t="array" ref="C193">IF(186&gt;COUNT(Registar!$AH$8:$AH$207),"",INDEX(Registar!$H$8:$H$207,MATCH(186,Registar!$AH$8:$AH$207,0)))</f>
        <v/>
      </c>
      <c r="D193" s="38" t="str">
        <f t="array" ref="D193">IF(186&gt;COUNT(Registar!$AH$8:$AH$207),"",INDEX(Registar!$AD$8:$AD$207,MATCH(186,Registar!$AH$8:$AH$207,0)))</f>
        <v/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61.5" customHeight="1">
      <c r="A194" s="31" t="str">
        <f t="array" ref="A194">IF(187&gt;COUNT(Registar!$AH$8:$AH$207),"",INDEX(Registar!$AA$8:$AA$207,MATCH(187,Registar!$AH$8:$AH$207,0)))</f>
        <v/>
      </c>
      <c r="B194" s="31" t="str">
        <f t="array" ref="B194">IF(187&gt;COUNT(Registar!$AH$8:$AH$207),"",INDEX(Registar!$AB$8:$AB$207,MATCH(187,Registar!$AH$8:$AH$207,0)))</f>
        <v/>
      </c>
      <c r="C194" s="31" t="str">
        <f t="array" ref="C194">IF(187&gt;COUNT(Registar!$AH$8:$AH$207),"",INDEX(Registar!$H$8:$H$207,MATCH(187,Registar!$AH$8:$AH$207,0)))</f>
        <v/>
      </c>
      <c r="D194" s="38" t="str">
        <f t="array" ref="D194">IF(187&gt;COUNT(Registar!$AH$8:$AH$207),"",INDEX(Registar!$AD$8:$AD$207,MATCH(187,Registar!$AH$8:$AH$207,0)))</f>
        <v/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61.5" customHeight="1">
      <c r="A195" s="31" t="str">
        <f t="array" ref="A195">IF(188&gt;COUNT(Registar!$AH$8:$AH$207),"",INDEX(Registar!$AA$8:$AA$207,MATCH(188,Registar!$AH$8:$AH$207,0)))</f>
        <v/>
      </c>
      <c r="B195" s="31" t="str">
        <f t="array" ref="B195">IF(188&gt;COUNT(Registar!$AH$8:$AH$207),"",INDEX(Registar!$AB$8:$AB$207,MATCH(188,Registar!$AH$8:$AH$207,0)))</f>
        <v/>
      </c>
      <c r="C195" s="31" t="str">
        <f t="array" ref="C195">IF(188&gt;COUNT(Registar!$AH$8:$AH$207),"",INDEX(Registar!$H$8:$H$207,MATCH(188,Registar!$AH$8:$AH$207,0)))</f>
        <v/>
      </c>
      <c r="D195" s="38" t="str">
        <f t="array" ref="D195">IF(188&gt;COUNT(Registar!$AH$8:$AH$207),"",INDEX(Registar!$AD$8:$AD$207,MATCH(188,Registar!$AH$8:$AH$207,0)))</f>
        <v/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61.5" customHeight="1">
      <c r="A196" s="31" t="str">
        <f t="array" ref="A196">IF(189&gt;COUNT(Registar!$AH$8:$AH$207),"",INDEX(Registar!$AA$8:$AA$207,MATCH(189,Registar!$AH$8:$AH$207,0)))</f>
        <v/>
      </c>
      <c r="B196" s="31" t="str">
        <f t="array" ref="B196">IF(189&gt;COUNT(Registar!$AH$8:$AH$207),"",INDEX(Registar!$AB$8:$AB$207,MATCH(189,Registar!$AH$8:$AH$207,0)))</f>
        <v/>
      </c>
      <c r="C196" s="31" t="str">
        <f t="array" ref="C196">IF(189&gt;COUNT(Registar!$AH$8:$AH$207),"",INDEX(Registar!$H$8:$H$207,MATCH(189,Registar!$AH$8:$AH$207,0)))</f>
        <v/>
      </c>
      <c r="D196" s="38" t="str">
        <f t="array" ref="D196">IF(189&gt;COUNT(Registar!$AH$8:$AH$207),"",INDEX(Registar!$AD$8:$AD$207,MATCH(189,Registar!$AH$8:$AH$207,0)))</f>
        <v/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61.5" customHeight="1">
      <c r="A197" s="31" t="str">
        <f t="array" ref="A197">IF(190&gt;COUNT(Registar!$AH$8:$AH$207),"",INDEX(Registar!$AA$8:$AA$207,MATCH(190,Registar!$AH$8:$AH$207,0)))</f>
        <v/>
      </c>
      <c r="B197" s="31" t="str">
        <f t="array" ref="B197">IF(190&gt;COUNT(Registar!$AH$8:$AH$207),"",INDEX(Registar!$AB$8:$AB$207,MATCH(190,Registar!$AH$8:$AH$207,0)))</f>
        <v/>
      </c>
      <c r="C197" s="31" t="str">
        <f t="array" ref="C197">IF(190&gt;COUNT(Registar!$AH$8:$AH$207),"",INDEX(Registar!$H$8:$H$207,MATCH(190,Registar!$AH$8:$AH$207,0)))</f>
        <v/>
      </c>
      <c r="D197" s="38" t="str">
        <f t="array" ref="D197">IF(190&gt;COUNT(Registar!$AH$8:$AH$207),"",INDEX(Registar!$AD$8:$AD$207,MATCH(190,Registar!$AH$8:$AH$207,0)))</f>
        <v/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61.5" customHeight="1">
      <c r="A198" s="31" t="str">
        <f t="array" ref="A198">IF(191&gt;COUNT(Registar!$AH$8:$AH$207),"",INDEX(Registar!$AA$8:$AA$207,MATCH(191,Registar!$AH$8:$AH$207,0)))</f>
        <v/>
      </c>
      <c r="B198" s="31" t="str">
        <f t="array" ref="B198">IF(191&gt;COUNT(Registar!$AH$8:$AH$207),"",INDEX(Registar!$AB$8:$AB$207,MATCH(191,Registar!$AH$8:$AH$207,0)))</f>
        <v/>
      </c>
      <c r="C198" s="31" t="str">
        <f t="array" ref="C198">IF(191&gt;COUNT(Registar!$AH$8:$AH$207),"",INDEX(Registar!$H$8:$H$207,MATCH(191,Registar!$AH$8:$AH$207,0)))</f>
        <v/>
      </c>
      <c r="D198" s="38" t="str">
        <f t="array" ref="D198">IF(191&gt;COUNT(Registar!$AH$8:$AH$207),"",INDEX(Registar!$AD$8:$AD$207,MATCH(191,Registar!$AH$8:$AH$207,0)))</f>
        <v/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61.5" customHeight="1">
      <c r="A199" s="31" t="str">
        <f t="array" ref="A199">IF(192&gt;COUNT(Registar!$AH$8:$AH$207),"",INDEX(Registar!$AA$8:$AA$207,MATCH(192,Registar!$AH$8:$AH$207,0)))</f>
        <v/>
      </c>
      <c r="B199" s="31" t="str">
        <f t="array" ref="B199">IF(192&gt;COUNT(Registar!$AH$8:$AH$207),"",INDEX(Registar!$AB$8:$AB$207,MATCH(192,Registar!$AH$8:$AH$207,0)))</f>
        <v/>
      </c>
      <c r="C199" s="31" t="str">
        <f t="array" ref="C199">IF(192&gt;COUNT(Registar!$AH$8:$AH$207),"",INDEX(Registar!$H$8:$H$207,MATCH(192,Registar!$AH$8:$AH$207,0)))</f>
        <v/>
      </c>
      <c r="D199" s="38" t="str">
        <f t="array" ref="D199">IF(192&gt;COUNT(Registar!$AH$8:$AH$207),"",INDEX(Registar!$AD$8:$AD$207,MATCH(192,Registar!$AH$8:$AH$207,0)))</f>
        <v/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61.5" customHeight="1">
      <c r="A200" s="31" t="str">
        <f t="array" ref="A200">IF(193&gt;COUNT(Registar!$AH$8:$AH$207),"",INDEX(Registar!$AA$8:$AA$207,MATCH(193,Registar!$AH$8:$AH$207,0)))</f>
        <v/>
      </c>
      <c r="B200" s="31" t="str">
        <f t="array" ref="B200">IF(193&gt;COUNT(Registar!$AH$8:$AH$207),"",INDEX(Registar!$AB$8:$AB$207,MATCH(193,Registar!$AH$8:$AH$207,0)))</f>
        <v/>
      </c>
      <c r="C200" s="31" t="str">
        <f t="array" ref="C200">IF(193&gt;COUNT(Registar!$AH$8:$AH$207),"",INDEX(Registar!$H$8:$H$207,MATCH(193,Registar!$AH$8:$AH$207,0)))</f>
        <v/>
      </c>
      <c r="D200" s="38" t="str">
        <f t="array" ref="D200">IF(193&gt;COUNT(Registar!$AH$8:$AH$207),"",INDEX(Registar!$AD$8:$AD$207,MATCH(193,Registar!$AH$8:$AH$207,0)))</f>
        <v/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61.5" customHeight="1">
      <c r="A201" s="31" t="str">
        <f t="array" ref="A201">IF(194&gt;COUNT(Registar!$AH$8:$AH$207),"",INDEX(Registar!$AA$8:$AA$207,MATCH(194,Registar!$AH$8:$AH$207,0)))</f>
        <v/>
      </c>
      <c r="B201" s="31" t="str">
        <f t="array" ref="B201">IF(194&gt;COUNT(Registar!$AH$8:$AH$207),"",INDEX(Registar!$AB$8:$AB$207,MATCH(194,Registar!$AH$8:$AH$207,0)))</f>
        <v/>
      </c>
      <c r="C201" s="31" t="str">
        <f t="array" ref="C201">IF(194&gt;COUNT(Registar!$AH$8:$AH$207),"",INDEX(Registar!$H$8:$H$207,MATCH(194,Registar!$AH$8:$AH$207,0)))</f>
        <v/>
      </c>
      <c r="D201" s="38" t="str">
        <f t="array" ref="D201">IF(194&gt;COUNT(Registar!$AH$8:$AH$207),"",INDEX(Registar!$AD$8:$AD$207,MATCH(194,Registar!$AH$8:$AH$207,0)))</f>
        <v/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61.5" customHeight="1">
      <c r="A202" s="31" t="str">
        <f t="array" ref="A202">IF(195&gt;COUNT(Registar!$AH$8:$AH$207),"",INDEX(Registar!$AA$8:$AA$207,MATCH(195,Registar!$AH$8:$AH$207,0)))</f>
        <v/>
      </c>
      <c r="B202" s="31" t="str">
        <f t="array" ref="B202">IF(195&gt;COUNT(Registar!$AH$8:$AH$207),"",INDEX(Registar!$AB$8:$AB$207,MATCH(195,Registar!$AH$8:$AH$207,0)))</f>
        <v/>
      </c>
      <c r="C202" s="31" t="str">
        <f t="array" ref="C202">IF(195&gt;COUNT(Registar!$AH$8:$AH$207),"",INDEX(Registar!$H$8:$H$207,MATCH(195,Registar!$AH$8:$AH$207,0)))</f>
        <v/>
      </c>
      <c r="D202" s="38" t="str">
        <f t="array" ref="D202">IF(195&gt;COUNT(Registar!$AH$8:$AH$207),"",INDEX(Registar!$AD$8:$AD$207,MATCH(195,Registar!$AH$8:$AH$207,0)))</f>
        <v/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61.5" customHeight="1">
      <c r="A203" s="31" t="str">
        <f t="array" ref="A203">IF(196&gt;COUNT(Registar!$AH$8:$AH$207),"",INDEX(Registar!$AA$8:$AA$207,MATCH(196,Registar!$AH$8:$AH$207,0)))</f>
        <v/>
      </c>
      <c r="B203" s="31" t="str">
        <f t="array" ref="B203">IF(196&gt;COUNT(Registar!$AH$8:$AH$207),"",INDEX(Registar!$AB$8:$AB$207,MATCH(196,Registar!$AH$8:$AH$207,0)))</f>
        <v/>
      </c>
      <c r="C203" s="31" t="str">
        <f t="array" ref="C203">IF(196&gt;COUNT(Registar!$AH$8:$AH$207),"",INDEX(Registar!$H$8:$H$207,MATCH(196,Registar!$AH$8:$AH$207,0)))</f>
        <v/>
      </c>
      <c r="D203" s="38" t="str">
        <f t="array" ref="D203">IF(196&gt;COUNT(Registar!$AH$8:$AH$207),"",INDEX(Registar!$AD$8:$AD$207,MATCH(196,Registar!$AH$8:$AH$207,0)))</f>
        <v/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61.5" customHeight="1">
      <c r="A204" s="31" t="str">
        <f t="array" ref="A204">IF(197&gt;COUNT(Registar!$AH$8:$AH$207),"",INDEX(Registar!$AA$8:$AA$207,MATCH(197,Registar!$AH$8:$AH$207,0)))</f>
        <v/>
      </c>
      <c r="B204" s="31" t="str">
        <f t="array" ref="B204">IF(197&gt;COUNT(Registar!$AH$8:$AH$207),"",INDEX(Registar!$AB$8:$AB$207,MATCH(197,Registar!$AH$8:$AH$207,0)))</f>
        <v/>
      </c>
      <c r="C204" s="31" t="str">
        <f t="array" ref="C204">IF(197&gt;COUNT(Registar!$AH$8:$AH$207),"",INDEX(Registar!$H$8:$H$207,MATCH(197,Registar!$AH$8:$AH$207,0)))</f>
        <v/>
      </c>
      <c r="D204" s="38" t="str">
        <f t="array" ref="D204">IF(197&gt;COUNT(Registar!$AH$8:$AH$207),"",INDEX(Registar!$AD$8:$AD$207,MATCH(197,Registar!$AH$8:$AH$207,0)))</f>
        <v/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61.5" customHeight="1">
      <c r="A205" s="31" t="str">
        <f t="array" ref="A205">IF(198&gt;COUNT(Registar!$AH$8:$AH$207),"",INDEX(Registar!$AA$8:$AA$207,MATCH(198,Registar!$AH$8:$AH$207,0)))</f>
        <v/>
      </c>
      <c r="B205" s="31" t="str">
        <f t="array" ref="B205">IF(198&gt;COUNT(Registar!$AH$8:$AH$207),"",INDEX(Registar!$AB$8:$AB$207,MATCH(198,Registar!$AH$8:$AH$207,0)))</f>
        <v/>
      </c>
      <c r="C205" s="31" t="str">
        <f t="array" ref="C205">IF(198&gt;COUNT(Registar!$AH$8:$AH$207),"",INDEX(Registar!$H$8:$H$207,MATCH(198,Registar!$AH$8:$AH$207,0)))</f>
        <v/>
      </c>
      <c r="D205" s="38" t="str">
        <f t="array" ref="D205">IF(198&gt;COUNT(Registar!$AH$8:$AH$207),"",INDEX(Registar!$AD$8:$AD$207,MATCH(198,Registar!$AH$8:$AH$207,0)))</f>
        <v/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61.5" customHeight="1">
      <c r="A206" s="31" t="str">
        <f t="array" ref="A206">IF(199&gt;COUNT(Registar!$AH$8:$AH$207),"",INDEX(Registar!$AA$8:$AA$207,MATCH(199,Registar!$AH$8:$AH$207,0)))</f>
        <v/>
      </c>
      <c r="B206" s="31" t="str">
        <f t="array" ref="B206">IF(199&gt;COUNT(Registar!$AH$8:$AH$207),"",INDEX(Registar!$AB$8:$AB$207,MATCH(199,Registar!$AH$8:$AH$207,0)))</f>
        <v/>
      </c>
      <c r="C206" s="31" t="str">
        <f t="array" ref="C206">IF(199&gt;COUNT(Registar!$AH$8:$AH$207),"",INDEX(Registar!$H$8:$H$207,MATCH(199,Registar!$AH$8:$AH$207,0)))</f>
        <v/>
      </c>
      <c r="D206" s="38" t="str">
        <f t="array" ref="D206">IF(199&gt;COUNT(Registar!$AH$8:$AH$207),"",INDEX(Registar!$AD$8:$AD$207,MATCH(199,Registar!$AH$8:$AH$207,0)))</f>
        <v/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61.5" customHeight="1">
      <c r="A207" s="31" t="str">
        <f t="array" ref="A207">IF(200&gt;COUNT(Registar!$AH$8:$AH$207),"",INDEX(Registar!$AA$8:$AA$207,MATCH(200,Registar!$AH$8:$AH$207,0)))</f>
        <v/>
      </c>
      <c r="B207" s="31" t="str">
        <f t="array" ref="B207">IF(200&gt;COUNT(Registar!$AH$8:$AH$207),"",INDEX(Registar!$AB$8:$AB$207,MATCH(200,Registar!$AH$8:$AH$207,0)))</f>
        <v/>
      </c>
      <c r="C207" s="31" t="str">
        <f t="array" ref="C207">IF(200&gt;COUNT(Registar!$AH$8:$AH$207),"",INDEX(Registar!$H$8:$H$207,MATCH(200,Registar!$AH$8:$AH$207,0)))</f>
        <v/>
      </c>
      <c r="D207" s="38" t="str">
        <f t="array" ref="D207">IF(200&gt;COUNT(Registar!$AH$8:$AH$207),"",INDEX(Registar!$AD$8:$AD$207,MATCH(200,Registar!$AH$8:$AH$207,0)))</f>
        <v/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4.0" customHeight="1">
      <c r="A208" s="2"/>
      <c r="B208" s="2"/>
      <c r="C208" s="2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4.0" customHeight="1">
      <c r="A209" s="2"/>
      <c r="B209" s="2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2:D3"/>
    <mergeCell ref="A4:D4"/>
    <mergeCell ref="A5:D6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0.0"/>
    <col customWidth="1" min="2" max="6" width="22.0"/>
    <col customWidth="1" min="7" max="26" width="8.63"/>
  </cols>
  <sheetData>
    <row r="1" ht="24.0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4.0" customHeight="1">
      <c r="A2" s="4" t="s">
        <v>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0" customHeight="1">
      <c r="A3" s="5"/>
      <c r="B3" s="5"/>
      <c r="C3" s="5"/>
      <c r="D3" s="5"/>
      <c r="E3" s="5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0" customHeight="1">
      <c r="A4" s="6" t="s">
        <v>88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0" customHeight="1">
      <c r="A5" s="2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4.0" customHeight="1">
      <c r="A6" s="25" t="s">
        <v>89</v>
      </c>
      <c r="B6" s="20"/>
      <c r="C6" s="20"/>
      <c r="D6" s="20"/>
      <c r="E6" s="20"/>
      <c r="F6" s="1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48.0" customHeight="1">
      <c r="A7" s="48" t="s">
        <v>90</v>
      </c>
      <c r="B7" s="28" t="s">
        <v>91</v>
      </c>
      <c r="C7" s="29"/>
      <c r="D7" s="29"/>
      <c r="E7" s="29"/>
      <c r="F7" s="2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48.0" customHeight="1">
      <c r="A8" s="49" t="s">
        <v>92</v>
      </c>
      <c r="B8" s="31" t="s">
        <v>93</v>
      </c>
      <c r="C8" s="32"/>
      <c r="D8" s="32"/>
      <c r="E8" s="32"/>
      <c r="F8" s="3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48.0" customHeight="1">
      <c r="A9" s="49" t="s">
        <v>94</v>
      </c>
      <c r="B9" s="31" t="s">
        <v>95</v>
      </c>
      <c r="C9" s="32"/>
      <c r="D9" s="32"/>
      <c r="E9" s="32"/>
      <c r="F9" s="3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48.0" customHeight="1">
      <c r="A10" s="49" t="s">
        <v>96</v>
      </c>
      <c r="B10" s="31" t="s">
        <v>97</v>
      </c>
      <c r="C10" s="32"/>
      <c r="D10" s="32"/>
      <c r="E10" s="32"/>
      <c r="F10" s="3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48.0" customHeight="1">
      <c r="A11" s="49" t="s">
        <v>98</v>
      </c>
      <c r="B11" s="31" t="s">
        <v>99</v>
      </c>
      <c r="C11" s="32"/>
      <c r="D11" s="32"/>
      <c r="E11" s="32"/>
      <c r="F11" s="3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0" customHeight="1">
      <c r="A12" s="2"/>
      <c r="B12" s="2"/>
      <c r="C12" s="2"/>
      <c r="D12" s="2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0" customHeight="1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0" customHeight="1">
      <c r="A14" s="25" t="s">
        <v>100</v>
      </c>
      <c r="B14" s="20"/>
      <c r="C14" s="20"/>
      <c r="D14" s="20"/>
      <c r="E14" s="20"/>
      <c r="F14" s="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48.0" customHeight="1">
      <c r="A15" s="48" t="s">
        <v>90</v>
      </c>
      <c r="B15" s="28" t="s">
        <v>101</v>
      </c>
      <c r="C15" s="29"/>
      <c r="D15" s="29"/>
      <c r="E15" s="29"/>
      <c r="F15" s="29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48.0" customHeight="1">
      <c r="A16" s="49" t="s">
        <v>92</v>
      </c>
      <c r="B16" s="31" t="s">
        <v>102</v>
      </c>
      <c r="C16" s="32"/>
      <c r="D16" s="32"/>
      <c r="E16" s="32"/>
      <c r="F16" s="3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48.0" customHeight="1">
      <c r="A17" s="49" t="s">
        <v>103</v>
      </c>
      <c r="B17" s="31" t="s">
        <v>104</v>
      </c>
      <c r="C17" s="32"/>
      <c r="D17" s="32"/>
      <c r="E17" s="32"/>
      <c r="F17" s="3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48.0" customHeight="1">
      <c r="A18" s="49" t="s">
        <v>94</v>
      </c>
      <c r="B18" s="31" t="s">
        <v>105</v>
      </c>
      <c r="C18" s="32"/>
      <c r="D18" s="32"/>
      <c r="E18" s="32"/>
      <c r="F18" s="3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48.0" customHeight="1">
      <c r="A19" s="49" t="s">
        <v>106</v>
      </c>
      <c r="B19" s="31" t="s">
        <v>107</v>
      </c>
      <c r="C19" s="32"/>
      <c r="D19" s="32"/>
      <c r="E19" s="32"/>
      <c r="F19" s="3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4.0" customHeight="1">
      <c r="A20" s="2"/>
      <c r="B20" s="2"/>
      <c r="C20" s="2"/>
      <c r="D20" s="2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4.0" customHeight="1">
      <c r="A21" s="2"/>
      <c r="B21" s="2"/>
      <c r="C21" s="2"/>
      <c r="D21" s="2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4.0" customHeight="1">
      <c r="A22" s="25" t="s">
        <v>108</v>
      </c>
      <c r="B22" s="20"/>
      <c r="C22" s="20"/>
      <c r="D22" s="20"/>
      <c r="E22" s="20"/>
      <c r="F22" s="1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48.0" customHeight="1">
      <c r="A23" s="48" t="s">
        <v>90</v>
      </c>
      <c r="B23" s="28" t="s">
        <v>109</v>
      </c>
      <c r="C23" s="29"/>
      <c r="D23" s="29"/>
      <c r="E23" s="29"/>
      <c r="F23" s="29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48.0" customHeight="1">
      <c r="A24" s="49" t="s">
        <v>110</v>
      </c>
      <c r="B24" s="31" t="s">
        <v>111</v>
      </c>
      <c r="C24" s="32"/>
      <c r="D24" s="32"/>
      <c r="E24" s="32"/>
      <c r="F24" s="3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48.0" customHeight="1">
      <c r="A25" s="49" t="s">
        <v>94</v>
      </c>
      <c r="B25" s="31" t="s">
        <v>112</v>
      </c>
      <c r="C25" s="32"/>
      <c r="D25" s="32"/>
      <c r="E25" s="32"/>
      <c r="F25" s="3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48.0" customHeight="1">
      <c r="A26" s="49" t="s">
        <v>113</v>
      </c>
      <c r="B26" s="31" t="s">
        <v>114</v>
      </c>
      <c r="C26" s="32"/>
      <c r="D26" s="32"/>
      <c r="E26" s="32"/>
      <c r="F26" s="3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48.0" customHeight="1">
      <c r="A27" s="49" t="s">
        <v>98</v>
      </c>
      <c r="B27" s="31" t="s">
        <v>115</v>
      </c>
      <c r="C27" s="32"/>
      <c r="D27" s="32"/>
      <c r="E27" s="32"/>
      <c r="F27" s="3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4.0" customHeight="1">
      <c r="A28" s="2"/>
      <c r="B28" s="2"/>
      <c r="C28" s="2"/>
      <c r="D28" s="2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4.0" customHeight="1">
      <c r="A29" s="2"/>
      <c r="B29" s="2"/>
      <c r="C29" s="2"/>
      <c r="D29" s="2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4.0" customHeight="1">
      <c r="A30" s="2"/>
      <c r="B30" s="2"/>
      <c r="C30" s="2"/>
      <c r="D30" s="2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4.0" customHeight="1">
      <c r="A31" s="2"/>
      <c r="B31" s="2"/>
      <c r="C31" s="2"/>
      <c r="D31" s="2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4.0" customHeight="1">
      <c r="A32" s="7" t="s">
        <v>116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4.0" customHeight="1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.0" customHeight="1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0" customHeight="1">
      <c r="A35" s="2"/>
      <c r="B35" s="2"/>
      <c r="C35" s="2"/>
      <c r="D35" s="2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0" customHeight="1">
      <c r="A36" s="2"/>
      <c r="B36" s="2"/>
      <c r="C36" s="2"/>
      <c r="D36" s="2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4.0" customHeight="1">
      <c r="A37" s="2"/>
      <c r="B37" s="2"/>
      <c r="C37" s="2"/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4.0" customHeight="1">
      <c r="A38" s="2"/>
      <c r="B38" s="2"/>
      <c r="C38" s="2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4.0" customHeight="1">
      <c r="A39" s="2"/>
      <c r="B39" s="2"/>
      <c r="C39" s="2"/>
      <c r="D39" s="2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4.0" customHeight="1">
      <c r="A40" s="2"/>
      <c r="B40" s="2"/>
      <c r="C40" s="2"/>
      <c r="D40" s="2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4.0" customHeight="1">
      <c r="A41" s="2"/>
      <c r="B41" s="2"/>
      <c r="C41" s="2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4.0" customHeight="1">
      <c r="A42" s="2"/>
      <c r="B42" s="2"/>
      <c r="C42" s="2"/>
      <c r="D42" s="2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A2:F3"/>
    <mergeCell ref="A4:F4"/>
    <mergeCell ref="A6:F6"/>
    <mergeCell ref="B7:F7"/>
    <mergeCell ref="B8:F8"/>
    <mergeCell ref="B9:F9"/>
    <mergeCell ref="B10:F10"/>
    <mergeCell ref="A22:F22"/>
    <mergeCell ref="B23:F23"/>
    <mergeCell ref="B24:F24"/>
    <mergeCell ref="B25:F25"/>
    <mergeCell ref="B26:F26"/>
    <mergeCell ref="B27:F27"/>
    <mergeCell ref="A32:F34"/>
    <mergeCell ref="B11:F11"/>
    <mergeCell ref="A14:F14"/>
    <mergeCell ref="B15:F15"/>
    <mergeCell ref="B16:F16"/>
    <mergeCell ref="B17:F17"/>
    <mergeCell ref="B18:F18"/>
    <mergeCell ref="B19:F1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7.0" topLeftCell="A18" activePane="bottomLeft" state="frozen"/>
      <selection activeCell="B19" sqref="B19" pane="bottomLeft"/>
    </sheetView>
  </sheetViews>
  <sheetFormatPr customHeight="1" defaultColWidth="12.63" defaultRowHeight="15.0"/>
  <cols>
    <col customWidth="1" min="1" max="1" width="8.0"/>
    <col customWidth="1" min="2" max="2" width="31.0"/>
    <col customWidth="1" min="3" max="3" width="22.0"/>
    <col customWidth="1" min="4" max="4" width="105.0"/>
    <col customWidth="1" min="5" max="26" width="8.63"/>
  </cols>
  <sheetData>
    <row r="1" ht="24.0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4.0" customHeight="1">
      <c r="A2" s="4" t="s">
        <v>117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0" customHeight="1">
      <c r="A3" s="5"/>
      <c r="B3" s="5"/>
      <c r="C3" s="5"/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0" customHeight="1">
      <c r="A4" s="6" t="s">
        <v>118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0" customHeight="1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57.75" customHeight="1">
      <c r="A6" s="50" t="s">
        <v>119</v>
      </c>
      <c r="B6" s="41"/>
      <c r="C6" s="42"/>
      <c r="D6" s="28" t="s">
        <v>120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7.75" customHeight="1">
      <c r="A7" s="51" t="s">
        <v>121</v>
      </c>
      <c r="B7" s="32"/>
      <c r="C7" s="44"/>
      <c r="D7" s="31" t="s">
        <v>122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57.75" customHeight="1">
      <c r="A8" s="51" t="s">
        <v>123</v>
      </c>
      <c r="B8" s="32"/>
      <c r="C8" s="44"/>
      <c r="D8" s="31" t="s">
        <v>124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57.75" customHeight="1">
      <c r="A9" s="51" t="s">
        <v>125</v>
      </c>
      <c r="B9" s="32"/>
      <c r="C9" s="44"/>
      <c r="D9" s="31" t="s">
        <v>126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57.75" customHeight="1">
      <c r="A10" s="51" t="s">
        <v>127</v>
      </c>
      <c r="B10" s="32"/>
      <c r="C10" s="44"/>
      <c r="D10" s="31" t="s">
        <v>128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57.75" customHeight="1">
      <c r="A11" s="51" t="s">
        <v>98</v>
      </c>
      <c r="B11" s="32"/>
      <c r="C11" s="44"/>
      <c r="D11" s="31" t="s">
        <v>129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57.75" customHeight="1">
      <c r="A12" s="51" t="s">
        <v>130</v>
      </c>
      <c r="B12" s="32"/>
      <c r="C12" s="44"/>
      <c r="D12" s="31" t="s">
        <v>131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57.75" customHeight="1">
      <c r="A13" s="51" t="s">
        <v>132</v>
      </c>
      <c r="B13" s="32"/>
      <c r="C13" s="44"/>
      <c r="D13" s="31" t="s">
        <v>133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57.75" customHeight="1">
      <c r="A14" s="51" t="s">
        <v>134</v>
      </c>
      <c r="B14" s="32"/>
      <c r="C14" s="44"/>
      <c r="D14" s="31" t="s">
        <v>135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0" customHeight="1">
      <c r="A15" s="2"/>
      <c r="B15" s="2"/>
      <c r="C15" s="2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0" customHeight="1">
      <c r="A16" s="2"/>
      <c r="B16" s="2"/>
      <c r="C16" s="2"/>
      <c r="D16" s="2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42.75" customHeight="1">
      <c r="A17" s="33" t="s">
        <v>136</v>
      </c>
      <c r="B17" s="33" t="s">
        <v>137</v>
      </c>
      <c r="C17" s="33" t="s">
        <v>138</v>
      </c>
      <c r="D17" s="33" t="s">
        <v>139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48.0" customHeight="1">
      <c r="A18" s="49" t="s">
        <v>140</v>
      </c>
      <c r="B18" s="49" t="s">
        <v>5</v>
      </c>
      <c r="C18" s="49" t="s">
        <v>141</v>
      </c>
      <c r="D18" s="31" t="s">
        <v>142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48.0" customHeight="1">
      <c r="A19" s="49" t="s">
        <v>143</v>
      </c>
      <c r="B19" s="49" t="s">
        <v>10</v>
      </c>
      <c r="C19" s="49" t="s">
        <v>141</v>
      </c>
      <c r="D19" s="31" t="s">
        <v>144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48.0" customHeight="1">
      <c r="A20" s="49" t="s">
        <v>145</v>
      </c>
      <c r="B20" s="49" t="s">
        <v>24</v>
      </c>
      <c r="C20" s="49" t="s">
        <v>141</v>
      </c>
      <c r="D20" s="31" t="s">
        <v>146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48.0" customHeight="1">
      <c r="A21" s="49" t="s">
        <v>147</v>
      </c>
      <c r="B21" s="49" t="s">
        <v>29</v>
      </c>
      <c r="C21" s="49" t="s">
        <v>148</v>
      </c>
      <c r="D21" s="31" t="s">
        <v>149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48.0" customHeight="1">
      <c r="A22" s="49" t="s">
        <v>150</v>
      </c>
      <c r="B22" s="49" t="s">
        <v>18</v>
      </c>
      <c r="C22" s="49" t="s">
        <v>141</v>
      </c>
      <c r="D22" s="31" t="s">
        <v>151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48.0" customHeight="1">
      <c r="A23" s="49" t="s">
        <v>152</v>
      </c>
      <c r="B23" s="49" t="s">
        <v>26</v>
      </c>
      <c r="C23" s="49" t="s">
        <v>141</v>
      </c>
      <c r="D23" s="31" t="s">
        <v>153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48.0" customHeight="1">
      <c r="A24" s="49" t="s">
        <v>154</v>
      </c>
      <c r="B24" s="49" t="s">
        <v>20</v>
      </c>
      <c r="C24" s="49" t="s">
        <v>141</v>
      </c>
      <c r="D24" s="31" t="s">
        <v>155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48.0" customHeight="1">
      <c r="A25" s="49" t="s">
        <v>156</v>
      </c>
      <c r="B25" s="49" t="s">
        <v>14</v>
      </c>
      <c r="C25" s="49" t="s">
        <v>148</v>
      </c>
      <c r="D25" s="31" t="s">
        <v>157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48.0" customHeight="1">
      <c r="A26" s="49" t="s">
        <v>158</v>
      </c>
      <c r="B26" s="49" t="s">
        <v>32</v>
      </c>
      <c r="C26" s="49" t="s">
        <v>148</v>
      </c>
      <c r="D26" s="31" t="s">
        <v>159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48.0" customHeight="1">
      <c r="A27" s="49" t="s">
        <v>160</v>
      </c>
      <c r="B27" s="49" t="s">
        <v>33</v>
      </c>
      <c r="C27" s="49" t="s">
        <v>148</v>
      </c>
      <c r="D27" s="31" t="s">
        <v>161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48.0" customHeight="1">
      <c r="A28" s="49" t="s">
        <v>162</v>
      </c>
      <c r="B28" s="49" t="s">
        <v>34</v>
      </c>
      <c r="C28" s="49" t="s">
        <v>141</v>
      </c>
      <c r="D28" s="31" t="s">
        <v>163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48.0" customHeight="1">
      <c r="A29" s="49" t="s">
        <v>164</v>
      </c>
      <c r="B29" s="49" t="s">
        <v>35</v>
      </c>
      <c r="C29" s="49" t="s">
        <v>148</v>
      </c>
      <c r="D29" s="31" t="s">
        <v>165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48.0" customHeight="1">
      <c r="A30" s="49" t="s">
        <v>166</v>
      </c>
      <c r="B30" s="49" t="s">
        <v>38</v>
      </c>
      <c r="C30" s="49" t="s">
        <v>148</v>
      </c>
      <c r="D30" s="31" t="s">
        <v>167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48.0" customHeight="1">
      <c r="A31" s="49" t="s">
        <v>168</v>
      </c>
      <c r="B31" s="49" t="s">
        <v>39</v>
      </c>
      <c r="C31" s="49" t="s">
        <v>141</v>
      </c>
      <c r="D31" s="31" t="s">
        <v>169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48.0" customHeight="1">
      <c r="A32" s="49" t="s">
        <v>170</v>
      </c>
      <c r="B32" s="49" t="s">
        <v>41</v>
      </c>
      <c r="C32" s="49" t="s">
        <v>141</v>
      </c>
      <c r="D32" s="31" t="s">
        <v>171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48.0" customHeight="1">
      <c r="A33" s="49" t="s">
        <v>172</v>
      </c>
      <c r="B33" s="49" t="s">
        <v>42</v>
      </c>
      <c r="C33" s="49" t="s">
        <v>141</v>
      </c>
      <c r="D33" s="31" t="s">
        <v>173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48.0" customHeight="1">
      <c r="A34" s="49" t="s">
        <v>174</v>
      </c>
      <c r="B34" s="49" t="s">
        <v>44</v>
      </c>
      <c r="C34" s="49" t="s">
        <v>141</v>
      </c>
      <c r="D34" s="31" t="s">
        <v>175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48.0" customHeight="1">
      <c r="A35" s="49" t="s">
        <v>176</v>
      </c>
      <c r="B35" s="49" t="s">
        <v>46</v>
      </c>
      <c r="C35" s="49" t="s">
        <v>141</v>
      </c>
      <c r="D35" s="31" t="s">
        <v>177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48.0" customHeight="1">
      <c r="A36" s="49" t="s">
        <v>178</v>
      </c>
      <c r="B36" s="49" t="s">
        <v>47</v>
      </c>
      <c r="C36" s="49" t="s">
        <v>141</v>
      </c>
      <c r="D36" s="31" t="s">
        <v>179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48.0" customHeight="1">
      <c r="A37" s="49" t="s">
        <v>180</v>
      </c>
      <c r="B37" s="49" t="s">
        <v>50</v>
      </c>
      <c r="C37" s="49" t="s">
        <v>141</v>
      </c>
      <c r="D37" s="31" t="s">
        <v>181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48.0" customHeight="1">
      <c r="A38" s="49" t="s">
        <v>182</v>
      </c>
      <c r="B38" s="49" t="s">
        <v>51</v>
      </c>
      <c r="C38" s="49" t="s">
        <v>141</v>
      </c>
      <c r="D38" s="31" t="s">
        <v>183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48.0" customHeight="1">
      <c r="A39" s="49" t="s">
        <v>184</v>
      </c>
      <c r="B39" s="49" t="s">
        <v>52</v>
      </c>
      <c r="C39" s="49" t="s">
        <v>185</v>
      </c>
      <c r="D39" s="31" t="s">
        <v>186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48.0" customHeight="1">
      <c r="A40" s="49" t="s">
        <v>187</v>
      </c>
      <c r="B40" s="49" t="s">
        <v>54</v>
      </c>
      <c r="C40" s="49" t="s">
        <v>185</v>
      </c>
      <c r="D40" s="31" t="s">
        <v>188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48.0" customHeight="1">
      <c r="A41" s="49" t="s">
        <v>189</v>
      </c>
      <c r="B41" s="49" t="s">
        <v>55</v>
      </c>
      <c r="C41" s="49" t="s">
        <v>141</v>
      </c>
      <c r="D41" s="31" t="s">
        <v>190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48.0" customHeight="1">
      <c r="A42" s="49" t="s">
        <v>191</v>
      </c>
      <c r="B42" s="49" t="s">
        <v>56</v>
      </c>
      <c r="C42" s="49" t="s">
        <v>141</v>
      </c>
      <c r="D42" s="31" t="s">
        <v>192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48.0" customHeight="1">
      <c r="A43" s="49" t="s">
        <v>193</v>
      </c>
      <c r="B43" s="49" t="s">
        <v>57</v>
      </c>
      <c r="C43" s="49" t="s">
        <v>148</v>
      </c>
      <c r="D43" s="31" t="s">
        <v>194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48.0" customHeight="1">
      <c r="A44" s="49" t="s">
        <v>195</v>
      </c>
      <c r="B44" s="49" t="s">
        <v>45</v>
      </c>
      <c r="C44" s="49" t="s">
        <v>141</v>
      </c>
      <c r="D44" s="31" t="s">
        <v>196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48.0" customHeight="1">
      <c r="A45" s="49" t="s">
        <v>197</v>
      </c>
      <c r="B45" s="49" t="s">
        <v>59</v>
      </c>
      <c r="C45" s="49" t="s">
        <v>141</v>
      </c>
      <c r="D45" s="31" t="s">
        <v>198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48.0" customHeight="1">
      <c r="A46" s="49" t="s">
        <v>199</v>
      </c>
      <c r="B46" s="49" t="s">
        <v>60</v>
      </c>
      <c r="C46" s="49" t="s">
        <v>141</v>
      </c>
      <c r="D46" s="31" t="s">
        <v>200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48.0" customHeight="1">
      <c r="A47" s="49" t="s">
        <v>201</v>
      </c>
      <c r="B47" s="49" t="s">
        <v>61</v>
      </c>
      <c r="C47" s="49" t="s">
        <v>185</v>
      </c>
      <c r="D47" s="31" t="s">
        <v>202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48.0" customHeight="1">
      <c r="A48" s="49" t="s">
        <v>203</v>
      </c>
      <c r="B48" s="49" t="s">
        <v>63</v>
      </c>
      <c r="C48" s="49" t="s">
        <v>204</v>
      </c>
      <c r="D48" s="31" t="s">
        <v>205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48.0" customHeight="1">
      <c r="A49" s="49" t="s">
        <v>206</v>
      </c>
      <c r="B49" s="49" t="s">
        <v>64</v>
      </c>
      <c r="C49" s="49" t="s">
        <v>204</v>
      </c>
      <c r="D49" s="31" t="s">
        <v>207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48.0" customHeight="1">
      <c r="A50" s="49" t="s">
        <v>208</v>
      </c>
      <c r="B50" s="49" t="s">
        <v>65</v>
      </c>
      <c r="C50" s="49" t="s">
        <v>204</v>
      </c>
      <c r="D50" s="31" t="s">
        <v>209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48.0" customHeight="1">
      <c r="A51" s="49" t="s">
        <v>210</v>
      </c>
      <c r="B51" s="49" t="s">
        <v>66</v>
      </c>
      <c r="C51" s="49" t="s">
        <v>204</v>
      </c>
      <c r="D51" s="31" t="s">
        <v>211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4.0" customHeight="1">
      <c r="A52" s="2"/>
      <c r="B52" s="2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4.0" customHeight="1">
      <c r="A53" s="2"/>
      <c r="B53" s="2"/>
      <c r="C53" s="2"/>
      <c r="D53" s="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4.0" customHeight="1">
      <c r="A54" s="7" t="s">
        <v>212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4.0" customHeight="1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4.0" customHeight="1">
      <c r="A56" s="2"/>
      <c r="B56" s="2"/>
      <c r="C56" s="2"/>
      <c r="D56" s="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4.0" customHeight="1">
      <c r="A57" s="2"/>
      <c r="B57" s="2"/>
      <c r="C57" s="2"/>
      <c r="D57" s="2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4.0" customHeight="1">
      <c r="A58" s="2"/>
      <c r="B58" s="2"/>
      <c r="C58" s="2"/>
      <c r="D58" s="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4.0" customHeight="1">
      <c r="A59" s="2"/>
      <c r="B59" s="2"/>
      <c r="C59" s="2"/>
      <c r="D59" s="2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4.0" customHeight="1">
      <c r="A60" s="2"/>
      <c r="B60" s="2"/>
      <c r="C60" s="2"/>
      <c r="D60" s="2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4.0" customHeight="1">
      <c r="A61" s="2"/>
      <c r="B61" s="2"/>
      <c r="C61" s="2"/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4.0" customHeight="1">
      <c r="A62" s="2"/>
      <c r="B62" s="2"/>
      <c r="C62" s="2"/>
      <c r="D62" s="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4.0" customHeight="1">
      <c r="A63" s="2"/>
      <c r="B63" s="2"/>
      <c r="C63" s="2"/>
      <c r="D63" s="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4.0" customHeight="1">
      <c r="A64" s="2"/>
      <c r="B64" s="2"/>
      <c r="C64" s="2"/>
      <c r="D64" s="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1:C11"/>
    <mergeCell ref="A12:C12"/>
    <mergeCell ref="A13:C13"/>
    <mergeCell ref="A14:C14"/>
    <mergeCell ref="A54:D55"/>
    <mergeCell ref="A2:D3"/>
    <mergeCell ref="A4:D4"/>
    <mergeCell ref="A6:C6"/>
    <mergeCell ref="A7:C7"/>
    <mergeCell ref="A8:C8"/>
    <mergeCell ref="A9:C9"/>
    <mergeCell ref="A10:C10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7" width="30.0"/>
    <col customWidth="1" min="8" max="26" width="8.63"/>
  </cols>
  <sheetData>
    <row r="1" ht="24.0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4.0" customHeight="1">
      <c r="A2" s="4" t="s">
        <v>213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0" customHeight="1">
      <c r="A3" s="5"/>
      <c r="B3" s="5"/>
      <c r="C3" s="5"/>
      <c r="D3" s="5"/>
      <c r="E3" s="5"/>
      <c r="F3" s="5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0" customHeight="1">
      <c r="A4" s="6" t="s">
        <v>214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0" customHeight="1">
      <c r="A5" s="2"/>
      <c r="B5" s="2"/>
      <c r="C5" s="2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42.75" customHeight="1">
      <c r="A6" s="33" t="s">
        <v>29</v>
      </c>
      <c r="B6" s="33" t="s">
        <v>14</v>
      </c>
      <c r="C6" s="33" t="s">
        <v>32</v>
      </c>
      <c r="D6" s="33" t="s">
        <v>33</v>
      </c>
      <c r="E6" s="33" t="s">
        <v>35</v>
      </c>
      <c r="F6" s="33" t="s">
        <v>38</v>
      </c>
      <c r="G6" s="33" t="s">
        <v>57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0" customHeight="1">
      <c r="A7" s="52" t="s">
        <v>215</v>
      </c>
      <c r="B7" s="52" t="s">
        <v>30</v>
      </c>
      <c r="C7" s="52" t="s">
        <v>216</v>
      </c>
      <c r="D7" s="52" t="s">
        <v>217</v>
      </c>
      <c r="E7" s="52" t="s">
        <v>218</v>
      </c>
      <c r="F7" s="52" t="s">
        <v>219</v>
      </c>
      <c r="G7" s="52" t="s">
        <v>218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0" customHeight="1">
      <c r="A8" s="52" t="s">
        <v>220</v>
      </c>
      <c r="B8" s="52" t="s">
        <v>43</v>
      </c>
      <c r="C8" s="52" t="s">
        <v>221</v>
      </c>
      <c r="D8" s="52" t="s">
        <v>222</v>
      </c>
      <c r="E8" s="52" t="s">
        <v>223</v>
      </c>
      <c r="F8" s="52" t="s">
        <v>224</v>
      </c>
      <c r="G8" s="52" t="s">
        <v>223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4.0" customHeight="1">
      <c r="A9" s="52" t="s">
        <v>225</v>
      </c>
      <c r="B9" s="52" t="s">
        <v>58</v>
      </c>
      <c r="C9" s="52" t="s">
        <v>226</v>
      </c>
      <c r="D9" s="52" t="s">
        <v>227</v>
      </c>
      <c r="E9" s="52" t="s">
        <v>228</v>
      </c>
      <c r="F9" s="52" t="s">
        <v>228</v>
      </c>
      <c r="G9" s="5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4.0" customHeight="1">
      <c r="A10" s="52" t="s">
        <v>229</v>
      </c>
      <c r="B10" s="52" t="s">
        <v>67</v>
      </c>
      <c r="C10" s="52" t="s">
        <v>228</v>
      </c>
      <c r="D10" s="52" t="s">
        <v>230</v>
      </c>
      <c r="E10" s="52"/>
      <c r="F10" s="52" t="s">
        <v>231</v>
      </c>
      <c r="G10" s="5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4.0" customHeight="1">
      <c r="A11" s="52" t="s">
        <v>232</v>
      </c>
      <c r="B11" s="52" t="s">
        <v>69</v>
      </c>
      <c r="C11" s="52"/>
      <c r="D11" s="52" t="s">
        <v>228</v>
      </c>
      <c r="E11" s="52"/>
      <c r="F11" s="52"/>
      <c r="G11" s="5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4.0" customHeight="1">
      <c r="A12" s="52"/>
      <c r="B12" s="52" t="s">
        <v>71</v>
      </c>
      <c r="C12" s="52"/>
      <c r="D12" s="52"/>
      <c r="E12" s="52"/>
      <c r="F12" s="52"/>
      <c r="G12" s="5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4.0" customHeight="1">
      <c r="A13" s="52"/>
      <c r="B13" s="52" t="s">
        <v>73</v>
      </c>
      <c r="C13" s="52"/>
      <c r="D13" s="52"/>
      <c r="E13" s="52"/>
      <c r="F13" s="52"/>
      <c r="G13" s="5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4.0" customHeight="1">
      <c r="A14" s="2"/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4.0" customHeight="1">
      <c r="A15" s="7" t="s">
        <v>233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4.0" customHeight="1"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2:G3"/>
    <mergeCell ref="A4:G4"/>
    <mergeCell ref="A15:G16"/>
  </mergeCells>
  <printOptions/>
  <pageMargins bottom="0.75" footer="0.0" header="0.0" left="0.7" right="0.7" top="0.75"/>
  <pageSetup orientation="landscape"/>
  <drawing r:id="rId1"/>
</worksheet>
</file>